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 SP\20 Operations\20.200 SP Owner Associations\20.210 SPOA\20.211 Financial\20.211.5 Reserve Study\"/>
    </mc:Choice>
  </mc:AlternateContent>
  <xr:revisionPtr revIDLastSave="0" documentId="8_{EB9100BC-E45F-4C2E-A05D-0321A29D5A9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operty Info" sheetId="2" r:id="rId1"/>
    <sheet name="Expenditures" sheetId="3" r:id="rId2"/>
    <sheet name="Funding Plan" sheetId="4" r:id="rId3"/>
  </sheets>
  <definedNames>
    <definedName name="Beginning_Reserve_Balance">'Property Info'!$B$14</definedName>
    <definedName name="Client_City">'Property Info'!$B$3</definedName>
    <definedName name="Client_Long">'Property Info'!$B$2</definedName>
    <definedName name="Client_State">'Property Info'!$B$4</definedName>
    <definedName name="comprises" localSheetId="2">'Funding Plan'!$A$57</definedName>
    <definedName name="Currency_Symbol">'Property Info'!$B$19</definedName>
    <definedName name="Current_Fiscal_Year">'Property Info'!$B$10</definedName>
    <definedName name="Current_Reserve_Contributions">'Property Info'!$B$15</definedName>
    <definedName name="Date_of_Inspection">'Property Info'!$B$9</definedName>
    <definedName name="expenditures" localSheetId="1">Expenditures!$Q$29</definedName>
    <definedName name="expenditures0" localSheetId="1">Expenditures!$S$29</definedName>
    <definedName name="expenditures1" localSheetId="1">Expenditures!$T$29</definedName>
    <definedName name="expenditures10" localSheetId="1">Expenditures!$AC$29</definedName>
    <definedName name="expenditures11" localSheetId="1">Expenditures!$AD$29</definedName>
    <definedName name="expenditures12" localSheetId="1">Expenditures!$AE$29</definedName>
    <definedName name="expenditures13" localSheetId="1">Expenditures!$AF$29</definedName>
    <definedName name="expenditures14" localSheetId="1">Expenditures!$AG$29</definedName>
    <definedName name="expenditures15" localSheetId="1">Expenditures!$AH$29</definedName>
    <definedName name="expenditures16" localSheetId="1">Expenditures!$AI$29</definedName>
    <definedName name="expenditures17" localSheetId="1">Expenditures!$AJ$29</definedName>
    <definedName name="expenditures18" localSheetId="1">Expenditures!$AK$29</definedName>
    <definedName name="expenditures19" localSheetId="1">Expenditures!$AL$29</definedName>
    <definedName name="expenditures2" localSheetId="1">Expenditures!$U$29</definedName>
    <definedName name="expenditures20" localSheetId="1">Expenditures!$AM$29</definedName>
    <definedName name="expenditures21" localSheetId="1">Expenditures!$AN$29</definedName>
    <definedName name="expenditures22" localSheetId="1">Expenditures!$AO$29</definedName>
    <definedName name="expenditures23" localSheetId="1">Expenditures!$AP$29</definedName>
    <definedName name="expenditures24" localSheetId="1">Expenditures!$AQ$29</definedName>
    <definedName name="expenditures25" localSheetId="1">Expenditures!$AR$29</definedName>
    <definedName name="expenditures26" localSheetId="1">Expenditures!$AS$29</definedName>
    <definedName name="expenditures27" localSheetId="1">Expenditures!$AT$29</definedName>
    <definedName name="expenditures28" localSheetId="1">Expenditures!$AU$29</definedName>
    <definedName name="expenditures29" localSheetId="1">Expenditures!$AV$29</definedName>
    <definedName name="expenditures3" localSheetId="1">Expenditures!$V$29</definedName>
    <definedName name="expenditures30" localSheetId="1">Expenditures!$AW$29</definedName>
    <definedName name="expenditures4" localSheetId="1">Expenditures!$W$29</definedName>
    <definedName name="expenditures5" localSheetId="1">Expenditures!$X$29</definedName>
    <definedName name="expenditures6" localSheetId="1">Expenditures!$Y$29</definedName>
    <definedName name="expenditures7" localSheetId="1">Expenditures!$Z$29</definedName>
    <definedName name="expenditures8" localSheetId="1">Expenditures!$AA$29</definedName>
    <definedName name="expenditures9" localSheetId="1">Expenditures!$AB$29</definedName>
    <definedName name="First_Year_of_Recommendation">'Property Info'!$B$12</definedName>
    <definedName name="Fiscal_Year_Beginning">'Property Info'!$B$11</definedName>
    <definedName name="Frequency_of_Contributions_Number">'Property Info'!$B$18</definedName>
    <definedName name="inflation" localSheetId="1">Expenditures!$T$4</definedName>
    <definedName name="Inflation">'Property Info'!$B$16</definedName>
    <definedName name="Interest" localSheetId="2">'Funding Plan'!$B$46</definedName>
    <definedName name="Interest">'Property Info'!$B$17</definedName>
    <definedName name="Number_of_Buildings">'Property Info'!$B$8</definedName>
    <definedName name="Number_of_Units">'Property Info'!$B$7</definedName>
    <definedName name="_xlnm.Print_Area" localSheetId="1">Expenditures!$A:$AQ</definedName>
    <definedName name="_xlnm.Print_Titles" localSheetId="1">Expenditures!$A:$A,Expenditures!$1:$10</definedName>
    <definedName name="Reference_Number">'Property Info'!$B$5</definedName>
    <definedName name="Remaining_Budgeted_Months">'Property Info'!$B$13</definedName>
    <definedName name="Rounded_by">'Property Info'!$B$20</definedName>
    <definedName name="Study_Length">'Property Info'!$B$6</definedName>
    <definedName name="version">'Property Info'!$B$1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" l="1"/>
  <c r="J35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S29" i="3"/>
  <c r="P35" i="4" s="1"/>
  <c r="AN29" i="3"/>
  <c r="K35" i="4" s="1"/>
  <c r="AM29" i="3"/>
  <c r="AK29" i="3"/>
  <c r="H35" i="4" s="1"/>
  <c r="AE29" i="3"/>
  <c r="Q14" i="4" s="1"/>
  <c r="Y29" i="3"/>
  <c r="K14" i="4" s="1"/>
  <c r="S29" i="3"/>
  <c r="E14" i="4" s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O27" i="3"/>
  <c r="W27" i="3" s="1"/>
  <c r="O26" i="3"/>
  <c r="X26" i="3" s="1"/>
  <c r="O25" i="3"/>
  <c r="O24" i="3"/>
  <c r="O23" i="3"/>
  <c r="V23" i="3" s="1"/>
  <c r="O22" i="3"/>
  <c r="AP22" i="3" s="1"/>
  <c r="O21" i="3"/>
  <c r="AF21" i="3" s="1"/>
  <c r="O20" i="3"/>
  <c r="AW20" i="3" s="1"/>
  <c r="O19" i="3"/>
  <c r="AU19" i="3" s="1"/>
  <c r="AU29" i="3" s="1"/>
  <c r="R35" i="4" s="1"/>
  <c r="O18" i="3"/>
  <c r="O17" i="3"/>
  <c r="AG17" i="3" s="1"/>
  <c r="O16" i="3"/>
  <c r="O15" i="3"/>
  <c r="X15" i="3" s="1"/>
  <c r="O14" i="3"/>
  <c r="AP14" i="3" s="1"/>
  <c r="O13" i="3"/>
  <c r="AI13" i="3" s="1"/>
  <c r="O12" i="3"/>
  <c r="AH12" i="3" s="1"/>
  <c r="AL27" i="3"/>
  <c r="AG27" i="3"/>
  <c r="AR25" i="3"/>
  <c r="AR29" i="3" s="1"/>
  <c r="O35" i="4" s="1"/>
  <c r="AC25" i="3"/>
  <c r="AC29" i="3" s="1"/>
  <c r="O14" i="4" s="1"/>
  <c r="AO24" i="3"/>
  <c r="Q24" i="3" s="1"/>
  <c r="AD22" i="3"/>
  <c r="AO21" i="3"/>
  <c r="AL21" i="3"/>
  <c r="AV19" i="3"/>
  <c r="AL18" i="3"/>
  <c r="Q18" i="3" s="1"/>
  <c r="AF17" i="3"/>
  <c r="J17" i="3" s="1"/>
  <c r="L17" i="3" s="1"/>
  <c r="AB16" i="3"/>
  <c r="AA16" i="3"/>
  <c r="Z16" i="3"/>
  <c r="Z29" i="3" s="1"/>
  <c r="L14" i="4" s="1"/>
  <c r="AW13" i="3"/>
  <c r="AW29" i="3" s="1"/>
  <c r="T35" i="4" s="1"/>
  <c r="AJ13" i="3"/>
  <c r="AJ29" i="3" s="1"/>
  <c r="G35" i="4" s="1"/>
  <c r="V13" i="3"/>
  <c r="U13" i="3"/>
  <c r="U29" i="3" s="1"/>
  <c r="G14" i="4" s="1"/>
  <c r="AV12" i="3"/>
  <c r="AO12" i="3"/>
  <c r="AA12" i="3"/>
  <c r="AA29" i="3" s="1"/>
  <c r="M14" i="4" s="1"/>
  <c r="T12" i="3"/>
  <c r="J13" i="3"/>
  <c r="J12" i="3"/>
  <c r="Q22" i="3" l="1"/>
  <c r="AP29" i="3"/>
  <c r="M35" i="4" s="1"/>
  <c r="Q12" i="3"/>
  <c r="AL29" i="3"/>
  <c r="I35" i="4" s="1"/>
  <c r="E16" i="4"/>
  <c r="F7" i="4" s="1"/>
  <c r="F13" i="4" s="1"/>
  <c r="F16" i="4" s="1"/>
  <c r="G7" i="4" s="1"/>
  <c r="AD29" i="3"/>
  <c r="P14" i="4" s="1"/>
  <c r="L12" i="3"/>
  <c r="V29" i="3"/>
  <c r="H14" i="4" s="1"/>
  <c r="AT19" i="3"/>
  <c r="J19" i="3" s="1"/>
  <c r="L19" i="3" s="1"/>
  <c r="AG29" i="3"/>
  <c r="S14" i="4" s="1"/>
  <c r="J18" i="3"/>
  <c r="L18" i="3" s="1"/>
  <c r="Q15" i="3"/>
  <c r="J15" i="3"/>
  <c r="L15" i="3" s="1"/>
  <c r="J21" i="3"/>
  <c r="Q21" i="3"/>
  <c r="J27" i="3"/>
  <c r="AF29" i="3"/>
  <c r="R14" i="4" s="1"/>
  <c r="J23" i="3"/>
  <c r="L13" i="3"/>
  <c r="J20" i="3"/>
  <c r="L20" i="3" s="1"/>
  <c r="Q20" i="3"/>
  <c r="Q26" i="3"/>
  <c r="J26" i="3"/>
  <c r="L26" i="3" s="1"/>
  <c r="J24" i="3"/>
  <c r="L24" i="3" s="1"/>
  <c r="J25" i="3"/>
  <c r="L25" i="3" s="1"/>
  <c r="X14" i="3"/>
  <c r="X29" i="3" s="1"/>
  <c r="J14" i="4" s="1"/>
  <c r="AO14" i="3"/>
  <c r="AO29" i="3" s="1"/>
  <c r="L35" i="4" s="1"/>
  <c r="AV27" i="3"/>
  <c r="AV29" i="3" s="1"/>
  <c r="S35" i="4" s="1"/>
  <c r="J16" i="3"/>
  <c r="L16" i="3" s="1"/>
  <c r="J22" i="3"/>
  <c r="L22" i="3" s="1"/>
  <c r="AI21" i="3"/>
  <c r="AI29" i="3" s="1"/>
  <c r="F35" i="4" s="1"/>
  <c r="AH23" i="3"/>
  <c r="AH29" i="3" s="1"/>
  <c r="T14" i="4" s="1"/>
  <c r="AB27" i="3"/>
  <c r="Q13" i="3"/>
  <c r="Q19" i="3"/>
  <c r="Q25" i="3"/>
  <c r="AT29" i="3"/>
  <c r="Q35" i="4" s="1"/>
  <c r="AQ27" i="3"/>
  <c r="AQ29" i="3" s="1"/>
  <c r="N35" i="4" s="1"/>
  <c r="Q16" i="3"/>
  <c r="W14" i="3"/>
  <c r="Q17" i="3"/>
  <c r="T29" i="3"/>
  <c r="F14" i="4" s="1"/>
  <c r="Q27" i="3" l="1"/>
  <c r="G13" i="4"/>
  <c r="G16" i="4" s="1"/>
  <c r="H7" i="4" s="1"/>
  <c r="L27" i="3"/>
  <c r="Q23" i="3"/>
  <c r="L23" i="3"/>
  <c r="L21" i="3"/>
  <c r="AB29" i="3"/>
  <c r="N14" i="4" s="1"/>
  <c r="J14" i="3"/>
  <c r="L14" i="3" s="1"/>
  <c r="W29" i="3"/>
  <c r="I14" i="4" s="1"/>
  <c r="Q14" i="3"/>
  <c r="H13" i="4" l="1"/>
  <c r="H16" i="4" s="1"/>
  <c r="I7" i="4" s="1"/>
  <c r="Q29" i="3"/>
  <c r="I13" i="4" l="1"/>
  <c r="I16" i="4" s="1"/>
  <c r="J7" i="4" s="1"/>
  <c r="I29" i="3"/>
  <c r="R22" i="3"/>
  <c r="R16" i="3"/>
  <c r="R21" i="3"/>
  <c r="R15" i="3"/>
  <c r="R19" i="3"/>
  <c r="R26" i="3"/>
  <c r="R20" i="3"/>
  <c r="R14" i="3"/>
  <c r="R24" i="3"/>
  <c r="R18" i="3"/>
  <c r="R12" i="3"/>
  <c r="R23" i="3"/>
  <c r="R17" i="3"/>
  <c r="R27" i="3"/>
  <c r="R25" i="3"/>
  <c r="R13" i="3"/>
  <c r="J13" i="4" l="1"/>
  <c r="J16" i="4" s="1"/>
  <c r="K7" i="4" s="1"/>
  <c r="K13" i="4" l="1"/>
  <c r="K16" i="4" s="1"/>
  <c r="L7" i="4" s="1"/>
  <c r="L13" i="4" l="1"/>
  <c r="L16" i="4" s="1"/>
  <c r="M7" i="4" s="1"/>
  <c r="M13" i="4" l="1"/>
  <c r="M16" i="4" s="1"/>
  <c r="N7" i="4" s="1"/>
  <c r="N13" i="4" l="1"/>
  <c r="N16" i="4" s="1"/>
  <c r="O7" i="4" s="1"/>
  <c r="O13" i="4" l="1"/>
  <c r="O16" i="4" s="1"/>
  <c r="P7" i="4" s="1"/>
  <c r="P13" i="4" l="1"/>
  <c r="P16" i="4" s="1"/>
  <c r="Q7" i="4" s="1"/>
  <c r="Q13" i="4" l="1"/>
  <c r="Q16" i="4" s="1"/>
  <c r="R7" i="4" s="1"/>
  <c r="R13" i="4" l="1"/>
  <c r="R16" i="4" s="1"/>
  <c r="S7" i="4" s="1"/>
  <c r="S13" i="4" l="1"/>
  <c r="S16" i="4" s="1"/>
  <c r="T7" i="4" s="1"/>
  <c r="T13" i="4" l="1"/>
  <c r="T16" i="4" s="1"/>
  <c r="F28" i="4" s="1"/>
  <c r="F34" i="4" l="1"/>
  <c r="F37" i="4" s="1"/>
  <c r="G28" i="4" s="1"/>
  <c r="G34" i="4" l="1"/>
  <c r="G37" i="4" s="1"/>
  <c r="H28" i="4" s="1"/>
  <c r="H34" i="4" l="1"/>
  <c r="H37" i="4" s="1"/>
  <c r="I28" i="4" s="1"/>
  <c r="I34" i="4" l="1"/>
  <c r="I37" i="4" s="1"/>
  <c r="J28" i="4" s="1"/>
  <c r="J34" i="4" l="1"/>
  <c r="J37" i="4" s="1"/>
  <c r="K28" i="4" s="1"/>
  <c r="K34" i="4" l="1"/>
  <c r="K37" i="4" s="1"/>
  <c r="L28" i="4" s="1"/>
  <c r="L34" i="4" l="1"/>
  <c r="L37" i="4" s="1"/>
  <c r="M28" i="4" s="1"/>
  <c r="M34" i="4" l="1"/>
  <c r="M37" i="4" s="1"/>
  <c r="N28" i="4" s="1"/>
  <c r="N34" i="4" l="1"/>
  <c r="N37" i="4" s="1"/>
  <c r="O28" i="4" s="1"/>
  <c r="O34" i="4" l="1"/>
  <c r="O37" i="4" s="1"/>
  <c r="P28" i="4" s="1"/>
  <c r="P34" i="4" l="1"/>
  <c r="P37" i="4" s="1"/>
  <c r="Q28" i="4" s="1"/>
  <c r="Q34" i="4" l="1"/>
  <c r="Q37" i="4" s="1"/>
  <c r="R28" i="4" s="1"/>
  <c r="R34" i="4" l="1"/>
  <c r="R37" i="4" s="1"/>
  <c r="S28" i="4" s="1"/>
  <c r="S34" i="4" l="1"/>
  <c r="S37" i="4" s="1"/>
  <c r="T28" i="4" s="1"/>
  <c r="T34" i="4" l="1"/>
  <c r="T37" i="4" s="1"/>
</calcChain>
</file>

<file path=xl/sharedStrings.xml><?xml version="1.0" encoding="utf-8"?>
<sst xmlns="http://schemas.openxmlformats.org/spreadsheetml/2006/main" count="811" uniqueCount="132">
  <si>
    <t>Version</t>
  </si>
  <si>
    <t>v5.0</t>
  </si>
  <si>
    <t>Name</t>
  </si>
  <si>
    <t>Spanish Peaks Owner's Association, Inc.</t>
  </si>
  <si>
    <t>City</t>
  </si>
  <si>
    <t>Big Sky</t>
  </si>
  <si>
    <t>State</t>
  </si>
  <si>
    <t>Montana</t>
  </si>
  <si>
    <t>Reference Number</t>
  </si>
  <si>
    <t>071231a</t>
  </si>
  <si>
    <t>Length of Study (Years)</t>
  </si>
  <si>
    <t>Number of Units</t>
  </si>
  <si>
    <t>Number of Buildings</t>
  </si>
  <si>
    <t>Date of Inspection</t>
  </si>
  <si>
    <t>Current Fiscal Year</t>
  </si>
  <si>
    <t>Fiscal Year Beginning</t>
  </si>
  <si>
    <t>First Year of Recommendation</t>
  </si>
  <si>
    <t>Remaining Budgeted Months</t>
  </si>
  <si>
    <t>Beginning Reserve Balance</t>
  </si>
  <si>
    <t>Current Reserve Contributions</t>
  </si>
  <si>
    <t>Inflation</t>
  </si>
  <si>
    <t>Interest</t>
  </si>
  <si>
    <t>Frequency of Contributions</t>
  </si>
  <si>
    <t>Currency Symbol</t>
  </si>
  <si>
    <t>$</t>
  </si>
  <si>
    <t>Values rounded by</t>
  </si>
  <si>
    <t>Explanatory Notes:</t>
  </si>
  <si>
    <t>Inflation Calculation in Reserve Expenditures Table - To move an expenditure and automatically recalculate inflation, copy cell with expenditure (Years 0 to 30) and paste into desired cell.</t>
  </si>
  <si>
    <t>Change in Number of Phases - A change in the number of phases will require a manual adjustment to the "Per Phase Quantity" column.</t>
  </si>
  <si>
    <t/>
  </si>
  <si>
    <t>Years 2022 to 2037</t>
  </si>
  <si>
    <t>Years 2038 to 2052</t>
  </si>
  <si>
    <t>RESERVE EXPENDITURES</t>
  </si>
  <si>
    <t>Spanish Peaks</t>
  </si>
  <si>
    <t>1)</t>
  </si>
  <si>
    <t>is the estimated Inflation Rate for estimating Future Replacement Costs.</t>
  </si>
  <si>
    <t>Owner's Association, Inc.</t>
  </si>
  <si>
    <t>2)</t>
  </si>
  <si>
    <t>FY2022 is Fiscal Year beginning December 1, 2021 and ending December 31, 2022.</t>
  </si>
  <si>
    <t>Big Sky, Montana</t>
  </si>
  <si>
    <t xml:space="preserve"> </t>
  </si>
  <si>
    <t>Estimated</t>
  </si>
  <si>
    <t>Life Analysis,</t>
  </si>
  <si>
    <t>Costs, $</t>
  </si>
  <si>
    <t>Percentage</t>
  </si>
  <si>
    <t>Line</t>
  </si>
  <si>
    <t>Total</t>
  </si>
  <si>
    <t>Per Phase</t>
  </si>
  <si>
    <t>1st Year of</t>
  </si>
  <si>
    <t>Years</t>
  </si>
  <si>
    <t>Unit</t>
  </si>
  <si>
    <t>30-Year Total</t>
  </si>
  <si>
    <t>of Future</t>
  </si>
  <si>
    <t>Item</t>
  </si>
  <si>
    <t>Quantity</t>
  </si>
  <si>
    <t>Units</t>
  </si>
  <si>
    <t>Reserve Component Inventory</t>
  </si>
  <si>
    <t>Event</t>
  </si>
  <si>
    <t>Useful</t>
  </si>
  <si>
    <t>Remaining</t>
  </si>
  <si>
    <t>(2022)</t>
  </si>
  <si>
    <t>Ownership</t>
  </si>
  <si>
    <t>(Inflated)</t>
  </si>
  <si>
    <t>Expenditures</t>
  </si>
  <si>
    <t>-</t>
  </si>
  <si>
    <t>Property Site Elements</t>
  </si>
  <si>
    <t>Square Yards</t>
  </si>
  <si>
    <t>Asphalt Pavement, Chip Seal, Crack Repair and Patch, Phase I</t>
  </si>
  <si>
    <t>6 to 8</t>
  </si>
  <si>
    <t>10 to 15</t>
  </si>
  <si>
    <t>Asphalt Pavement, Chip Seal, Crack Repair and Patch, Phase II, Phased</t>
  </si>
  <si>
    <t>8 to 10</t>
  </si>
  <si>
    <t>Asphalt Pavement, Chip Seal, Crack Repair and Patch, Phase III, Phased</t>
  </si>
  <si>
    <t>Asphalt Pavement, Overlay, Phase I</t>
  </si>
  <si>
    <t>15 to 20</t>
  </si>
  <si>
    <t>Asphalt Pavement, Overlay, Phase II, Phased</t>
  </si>
  <si>
    <t>20 to 25</t>
  </si>
  <si>
    <t>Asphalt Pavement, Overlay, Phase III, Phased</t>
  </si>
  <si>
    <t>Asphalt Pavement, Total Replacement, Phase I</t>
  </si>
  <si>
    <t>Asphalt Pavement, Total Replacement, Phase II, Phased</t>
  </si>
  <si>
    <t>Asphalt Pavement, Total Replacement, Phase III, Partial</t>
  </si>
  <si>
    <t>Linear Feet</t>
  </si>
  <si>
    <t>Guardrails, Steel, Phases I and II, Phased</t>
  </si>
  <si>
    <t>to 35</t>
  </si>
  <si>
    <t>Square Feet</t>
  </si>
  <si>
    <t>Retaining Wall, Concrete, Outlook Trail, Inspections and Capital Repairs</t>
  </si>
  <si>
    <t>Retaining Wall, Masonry, Bitterbrush Trail, Inspections and Capital Repairs</t>
  </si>
  <si>
    <t>Retaining Wall, Masonry, Bitterbrush Trail, Complete Replacement</t>
  </si>
  <si>
    <t>to 40</t>
  </si>
  <si>
    <t>Each</t>
  </si>
  <si>
    <t>Signage, Entrance and Street Monuments, Renovations</t>
  </si>
  <si>
    <t>to 15</t>
  </si>
  <si>
    <t>Signage, Traffic Management</t>
  </si>
  <si>
    <t>Allowance</t>
  </si>
  <si>
    <t>Walking Paths, Bridge Repairs, Erosion Control and Gravel Replenishment</t>
  </si>
  <si>
    <t>to 5</t>
  </si>
  <si>
    <t>||</t>
  </si>
  <si>
    <t>Length</t>
  </si>
  <si>
    <t>Events</t>
  </si>
  <si>
    <t>Freq</t>
  </si>
  <si>
    <t>of Phase</t>
  </si>
  <si>
    <t>UL</t>
  </si>
  <si>
    <t>RESERVE FUNDING PLAN</t>
  </si>
  <si>
    <t>CASH FLOW ANALYSIS</t>
  </si>
  <si>
    <t>Individual Reserve Budgets &amp; Cash Flows for the Next 30 Years</t>
  </si>
  <si>
    <t>Reserves at Beginning of Year</t>
  </si>
  <si>
    <t>(Note 1)</t>
  </si>
  <si>
    <t>N/A</t>
  </si>
  <si>
    <t xml:space="preserve">           Recommended Reserve Contributions </t>
  </si>
  <si>
    <t>Additional Reserve Contributions</t>
  </si>
  <si>
    <t>Additional Assessment</t>
  </si>
  <si>
    <t>Total Recommended Reserve Contributions</t>
  </si>
  <si>
    <t>(Note 2)</t>
  </si>
  <si>
    <t xml:space="preserve">           Anticipated Interest Rate</t>
  </si>
  <si>
    <t>Estimated Interest Earned, During Year</t>
  </si>
  <si>
    <t>(Note 3)</t>
  </si>
  <si>
    <t>Anticipated Expenditures, By Year</t>
  </si>
  <si>
    <t>Anticipated Reserves at Year End</t>
  </si>
  <si>
    <t>(continued)</t>
  </si>
  <si>
    <t>Individual Reserve Budgets &amp; Cash Flows for the Next 30 Years, Continued</t>
  </si>
  <si>
    <t xml:space="preserve">Total Recommended Reserve Contributions </t>
  </si>
  <si>
    <t>(NOTES 4&amp;5)</t>
  </si>
  <si>
    <t>Year 2022 starting reserves are projected by Management as of January 1, 2023; FY2022 starts December 1, 2021 and ends December 31, 2022.</t>
  </si>
  <si>
    <t>Reserve Contributions for 2022 are budgeted; 2023 is the first year of recommended contributions.</t>
  </si>
  <si>
    <t>3)</t>
  </si>
  <si>
    <t>is the estimated annual rate of return on invested reserves.</t>
  </si>
  <si>
    <t>4)</t>
  </si>
  <si>
    <t>Accumulated year 2052 ending reserves consider the age, size, overall condition and complexity of the property.</t>
  </si>
  <si>
    <t>5)</t>
  </si>
  <si>
    <t>Threshold Funding Year (reserve balance at critical point).</t>
  </si>
  <si>
    <t>This funding plan comprises the following sheets:</t>
  </si>
  <si>
    <t>To increase Reserve Contributions in any given year by inflation, copy the cell above and paste in the desired year in rows 8 and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</si>
</sst>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;;;"/>
    <numFmt numFmtId="165" formatCode="[$$-409]#,##0_);[Red]\([$$-409]#,##0\)"/>
    <numFmt numFmtId="166" formatCode="0.0%"/>
    <numFmt numFmtId="167" formatCode="&quot;RUL = &quot;0"/>
    <numFmt numFmtId="168" formatCode="&quot;FY&quot;0"/>
    <numFmt numFmtId="169" formatCode="0.000"/>
    <numFmt numFmtId="170" formatCode="&quot;$&quot;#,##0"/>
    <numFmt numFmtId="171" formatCode="&quot;FY&quot;0000"/>
    <numFmt numFmtId="172" formatCode="0;[Red]\-0"/>
    <numFmt numFmtId="173" formatCode="0_);[Red]\(0\)"/>
    <numFmt numFmtId="174" formatCode="#,##0;[Red]\-#,##0"/>
  </numFmts>
  <fonts count="39" x14ac:knownFonts="1">
    <font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sz val="12"/>
      <name val="Arial"/>
      <family val="2"/>
    </font>
    <font>
      <sz val="20"/>
      <color indexed="12"/>
      <name val="Arial"/>
      <family val="2"/>
    </font>
    <font>
      <u/>
      <sz val="12"/>
      <name val="Arial"/>
      <family val="2"/>
    </font>
    <font>
      <b/>
      <u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4"/>
      <name val="Arial"/>
      <family val="2"/>
    </font>
    <font>
      <b/>
      <u/>
      <sz val="14"/>
      <name val="Arial"/>
      <family val="2"/>
    </font>
    <font>
      <b/>
      <i/>
      <u/>
      <sz val="16"/>
      <color indexed="8"/>
      <name val="Arial"/>
      <family val="2"/>
    </font>
    <font>
      <sz val="14"/>
      <color indexed="8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b/>
      <u/>
      <sz val="14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sz val="24"/>
      <name val="Arial"/>
      <family val="2"/>
    </font>
    <font>
      <sz val="12"/>
      <color rgb="FFFF0000"/>
      <name val="Arial"/>
      <family val="2"/>
    </font>
    <font>
      <b/>
      <sz val="14"/>
      <color indexed="12"/>
      <name val="Arial Narrow"/>
      <family val="2"/>
    </font>
    <font>
      <u/>
      <sz val="14"/>
      <name val="Arial Narrow"/>
      <family val="2"/>
    </font>
    <font>
      <b/>
      <i/>
      <sz val="14"/>
      <color rgb="FF310FFD"/>
      <name val="Arial Narrow"/>
      <family val="2"/>
    </font>
    <font>
      <u val="double"/>
      <sz val="14"/>
      <name val="Arial Narrow"/>
      <family val="2"/>
    </font>
    <font>
      <b/>
      <i/>
      <sz val="13"/>
      <color rgb="FF310FFD"/>
      <name val="Arial Narrow"/>
      <family val="2"/>
    </font>
    <font>
      <sz val="9"/>
      <name val="Arial"/>
      <family val="2"/>
    </font>
    <font>
      <sz val="14"/>
      <color indexed="12"/>
      <name val="Arial Narrow"/>
      <family val="2"/>
    </font>
    <font>
      <u val="double"/>
      <sz val="13"/>
      <name val="Arial Narrow"/>
      <family val="2"/>
    </font>
    <font>
      <b/>
      <sz val="14"/>
      <color rgb="FF310FFD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rgb="FFCCFFCC"/>
        <bgColor indexed="9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49" fontId="0" fillId="0" borderId="0" xfId="0" applyNumberFormat="1"/>
    <xf numFmtId="14" fontId="0" fillId="0" borderId="0" xfId="0" applyNumberFormat="1"/>
    <xf numFmtId="7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165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centerContinuous" vertic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9" fillId="0" borderId="0" xfId="0" applyFont="1"/>
    <xf numFmtId="0" fontId="9" fillId="0" borderId="0" xfId="0" applyFont="1" applyProtection="1">
      <protection hidden="1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166" fontId="21" fillId="0" borderId="0" xfId="0" applyNumberFormat="1" applyFont="1" applyAlignment="1">
      <alignment horizontal="centerContinuous" vertical="center"/>
    </xf>
    <xf numFmtId="0" fontId="20" fillId="0" borderId="0" xfId="0" applyFont="1"/>
    <xf numFmtId="0" fontId="17" fillId="0" borderId="0" xfId="0" applyFont="1"/>
    <xf numFmtId="0" fontId="3" fillId="0" borderId="0" xfId="0" applyFont="1" applyProtection="1">
      <protection locked="0"/>
    </xf>
    <xf numFmtId="0" fontId="9" fillId="2" borderId="0" xfId="0" applyFont="1" applyFill="1"/>
    <xf numFmtId="0" fontId="20" fillId="0" borderId="0" xfId="0" applyFont="1" applyAlignment="1">
      <alignment horizontal="left"/>
    </xf>
    <xf numFmtId="0" fontId="22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24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24" fillId="0" borderId="2" xfId="0" applyFont="1" applyBorder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2" borderId="2" xfId="0" applyFill="1" applyBorder="1" applyAlignment="1">
      <alignment horizontal="centerContinuous" vertical="center" wrapText="1"/>
    </xf>
    <xf numFmtId="0" fontId="24" fillId="0" borderId="0" xfId="0" applyFont="1"/>
    <xf numFmtId="0" fontId="11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Continuous" vertical="center"/>
    </xf>
    <xf numFmtId="16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Continuous" vertical="center"/>
    </xf>
    <xf numFmtId="168" fontId="11" fillId="0" borderId="0" xfId="0" applyNumberFormat="1" applyFont="1" applyAlignment="1">
      <alignment horizontal="center"/>
    </xf>
    <xf numFmtId="0" fontId="0" fillId="0" borderId="0" xfId="0" applyAlignment="1">
      <alignment horizontal="fill" vertical="center"/>
    </xf>
    <xf numFmtId="0" fontId="9" fillId="0" borderId="0" xfId="0" applyFont="1" applyAlignment="1">
      <alignment horizontal="fill" vertical="center"/>
    </xf>
    <xf numFmtId="9" fontId="9" fillId="0" borderId="0" xfId="0" applyNumberFormat="1" applyFont="1" applyAlignment="1">
      <alignment horizontal="fill" vertical="center"/>
    </xf>
    <xf numFmtId="169" fontId="0" fillId="3" borderId="0" xfId="0" applyNumberFormat="1" applyFill="1" applyAlignment="1">
      <alignment horizontal="center"/>
    </xf>
    <xf numFmtId="3" fontId="17" fillId="3" borderId="0" xfId="0" applyNumberFormat="1" applyFont="1" applyFill="1" applyAlignment="1">
      <alignment horizontal="right" wrapText="1"/>
    </xf>
    <xf numFmtId="3" fontId="24" fillId="3" borderId="0" xfId="0" applyNumberFormat="1" applyFont="1" applyFill="1"/>
    <xf numFmtId="0" fontId="0" fillId="3" borderId="0" xfId="0" applyFill="1"/>
    <xf numFmtId="1" fontId="17" fillId="3" borderId="0" xfId="0" applyNumberFormat="1" applyFont="1" applyFill="1" applyAlignment="1">
      <alignment horizontal="center"/>
    </xf>
    <xf numFmtId="4" fontId="17" fillId="3" borderId="0" xfId="0" applyNumberFormat="1" applyFont="1" applyFill="1"/>
    <xf numFmtId="9" fontId="17" fillId="3" borderId="0" xfId="0" applyNumberFormat="1" applyFont="1" applyFill="1" applyAlignment="1">
      <alignment horizontal="center"/>
    </xf>
    <xf numFmtId="3" fontId="17" fillId="3" borderId="0" xfId="0" applyNumberFormat="1" applyFont="1" applyFill="1"/>
    <xf numFmtId="166" fontId="27" fillId="3" borderId="0" xfId="1" applyNumberFormat="1" applyFont="1" applyFill="1" applyBorder="1" applyAlignment="1"/>
    <xf numFmtId="3" fontId="17" fillId="3" borderId="0" xfId="0" applyNumberFormat="1" applyFont="1" applyFill="1" applyAlignment="1">
      <alignment horizontal="center"/>
    </xf>
    <xf numFmtId="165" fontId="3" fillId="0" borderId="0" xfId="0" applyNumberFormat="1" applyFont="1"/>
    <xf numFmtId="0" fontId="0" fillId="4" borderId="0" xfId="0" applyFill="1"/>
    <xf numFmtId="169" fontId="0" fillId="4" borderId="0" xfId="0" applyNumberFormat="1" applyFill="1" applyAlignment="1">
      <alignment horizontal="center"/>
    </xf>
    <xf numFmtId="3" fontId="17" fillId="4" borderId="0" xfId="0" applyNumberFormat="1" applyFont="1" applyFill="1" applyAlignment="1">
      <alignment horizontal="right" wrapText="1"/>
    </xf>
    <xf numFmtId="3" fontId="24" fillId="4" borderId="0" xfId="0" applyNumberFormat="1" applyFont="1" applyFill="1"/>
    <xf numFmtId="0" fontId="23" fillId="4" borderId="0" xfId="0" applyFont="1" applyFill="1" applyAlignment="1">
      <alignment horizontal="center"/>
    </xf>
    <xf numFmtId="1" fontId="17" fillId="4" borderId="0" xfId="0" applyNumberFormat="1" applyFont="1" applyFill="1" applyAlignment="1">
      <alignment horizontal="center"/>
    </xf>
    <xf numFmtId="4" fontId="17" fillId="4" borderId="0" xfId="0" applyNumberFormat="1" applyFont="1" applyFill="1"/>
    <xf numFmtId="9" fontId="17" fillId="4" borderId="0" xfId="0" applyNumberFormat="1" applyFont="1" applyFill="1" applyAlignment="1">
      <alignment horizontal="center"/>
    </xf>
    <xf numFmtId="3" fontId="17" fillId="4" borderId="0" xfId="0" applyNumberFormat="1" applyFont="1" applyFill="1"/>
    <xf numFmtId="166" fontId="27" fillId="4" borderId="0" xfId="1" applyNumberFormat="1" applyFont="1" applyFill="1" applyBorder="1" applyAlignment="1"/>
    <xf numFmtId="3" fontId="17" fillId="4" borderId="0" xfId="0" applyNumberFormat="1" applyFont="1" applyFill="1" applyAlignment="1">
      <alignment horizontal="center"/>
    </xf>
    <xf numFmtId="164" fontId="17" fillId="4" borderId="0" xfId="0" applyNumberFormat="1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>
      <alignment vertical="center"/>
    </xf>
    <xf numFmtId="165" fontId="17" fillId="4" borderId="0" xfId="0" applyNumberFormat="1" applyFont="1" applyFill="1" applyAlignment="1">
      <alignment horizontal="fill" vertical="center"/>
    </xf>
    <xf numFmtId="3" fontId="17" fillId="4" borderId="0" xfId="0" applyNumberFormat="1" applyFont="1" applyFill="1" applyAlignment="1">
      <alignment horizontal="fill" vertical="center"/>
    </xf>
    <xf numFmtId="0" fontId="17" fillId="4" borderId="0" xfId="0" applyFont="1" applyFill="1" applyAlignment="1">
      <alignment horizontal="fill" vertical="center"/>
    </xf>
    <xf numFmtId="9" fontId="17" fillId="4" borderId="0" xfId="0" applyNumberFormat="1" applyFont="1" applyFill="1" applyAlignment="1">
      <alignment horizontal="fill"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/>
    <xf numFmtId="165" fontId="27" fillId="4" borderId="0" xfId="0" applyNumberFormat="1" applyFont="1" applyFill="1"/>
    <xf numFmtId="1" fontId="17" fillId="4" borderId="0" xfId="0" applyNumberFormat="1" applyFont="1" applyFill="1"/>
    <xf numFmtId="170" fontId="27" fillId="4" borderId="0" xfId="0" applyNumberFormat="1" applyFont="1" applyFill="1"/>
    <xf numFmtId="165" fontId="3" fillId="4" borderId="0" xfId="0" applyNumberFormat="1" applyFont="1" applyFill="1"/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/>
    <xf numFmtId="165" fontId="29" fillId="0" borderId="0" xfId="0" applyNumberFormat="1" applyFont="1" applyAlignment="1">
      <alignment horizontal="left"/>
    </xf>
    <xf numFmtId="165" fontId="9" fillId="0" borderId="0" xfId="0" applyNumberFormat="1" applyFont="1"/>
    <xf numFmtId="165" fontId="11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left" vertical="center"/>
    </xf>
    <xf numFmtId="164" fontId="9" fillId="0" borderId="0" xfId="0" applyNumberFormat="1" applyFont="1" applyProtection="1">
      <protection hidden="1"/>
    </xf>
    <xf numFmtId="3" fontId="11" fillId="0" borderId="0" xfId="0" applyNumberFormat="1" applyFont="1" applyAlignment="1">
      <alignment horizontal="center" vertical="center"/>
    </xf>
    <xf numFmtId="165" fontId="24" fillId="0" borderId="0" xfId="0" applyNumberFormat="1" applyFont="1"/>
    <xf numFmtId="0" fontId="30" fillId="0" borderId="0" xfId="0" applyFont="1"/>
    <xf numFmtId="165" fontId="31" fillId="0" borderId="0" xfId="0" applyNumberFormat="1" applyFont="1"/>
    <xf numFmtId="3" fontId="24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65" fontId="24" fillId="0" borderId="3" xfId="0" applyNumberFormat="1" applyFont="1" applyBorder="1"/>
    <xf numFmtId="165" fontId="3" fillId="0" borderId="3" xfId="0" applyNumberFormat="1" applyFont="1" applyBorder="1"/>
    <xf numFmtId="1" fontId="32" fillId="0" borderId="3" xfId="0" applyNumberFormat="1" applyFont="1" applyBorder="1" applyAlignment="1">
      <alignment horizontal="right"/>
    </xf>
    <xf numFmtId="37" fontId="9" fillId="0" borderId="3" xfId="0" applyNumberFormat="1" applyFont="1" applyBorder="1" applyAlignment="1">
      <alignment horizontal="right"/>
    </xf>
    <xf numFmtId="37" fontId="9" fillId="0" borderId="3" xfId="0" applyNumberFormat="1" applyFont="1" applyBorder="1"/>
    <xf numFmtId="165" fontId="17" fillId="5" borderId="1" xfId="0" applyNumberFormat="1" applyFont="1" applyFill="1" applyBorder="1" applyProtection="1">
      <protection locked="0"/>
    </xf>
    <xf numFmtId="165" fontId="27" fillId="5" borderId="1" xfId="0" applyNumberFormat="1" applyFont="1" applyFill="1" applyBorder="1" applyProtection="1">
      <protection locked="0"/>
    </xf>
    <xf numFmtId="37" fontId="17" fillId="5" borderId="1" xfId="0" applyNumberFormat="1" applyFont="1" applyFill="1" applyBorder="1" applyAlignment="1">
      <alignment horizontal="right"/>
    </xf>
    <xf numFmtId="37" fontId="17" fillId="5" borderId="1" xfId="0" applyNumberFormat="1" applyFont="1" applyFill="1" applyBorder="1"/>
    <xf numFmtId="165" fontId="17" fillId="5" borderId="0" xfId="0" applyNumberFormat="1" applyFont="1" applyFill="1" applyAlignment="1" applyProtection="1">
      <alignment horizontal="left" indent="4"/>
      <protection locked="0"/>
    </xf>
    <xf numFmtId="165" fontId="27" fillId="5" borderId="0" xfId="0" applyNumberFormat="1" applyFont="1" applyFill="1" applyProtection="1">
      <protection locked="0"/>
    </xf>
    <xf numFmtId="37" fontId="17" fillId="5" borderId="0" xfId="0" applyNumberFormat="1" applyFont="1" applyFill="1" applyAlignment="1">
      <alignment horizontal="right"/>
    </xf>
    <xf numFmtId="37" fontId="17" fillId="5" borderId="0" xfId="0" applyNumberFormat="1" applyFont="1" applyFill="1"/>
    <xf numFmtId="165" fontId="32" fillId="6" borderId="1" xfId="0" applyNumberFormat="1" applyFont="1" applyFill="1" applyBorder="1" applyAlignment="1" applyProtection="1">
      <alignment horizontal="right"/>
      <protection locked="0"/>
    </xf>
    <xf numFmtId="37" fontId="27" fillId="5" borderId="1" xfId="0" applyNumberFormat="1" applyFont="1" applyFill="1" applyBorder="1" applyAlignment="1">
      <alignment horizontal="right"/>
    </xf>
    <xf numFmtId="165" fontId="24" fillId="0" borderId="1" xfId="0" applyNumberFormat="1" applyFont="1" applyBorder="1"/>
    <xf numFmtId="165" fontId="3" fillId="0" borderId="1" xfId="0" applyNumberFormat="1" applyFont="1" applyBorder="1"/>
    <xf numFmtId="1" fontId="9" fillId="0" borderId="1" xfId="0" applyNumberFormat="1" applyFont="1" applyBorder="1"/>
    <xf numFmtId="10" fontId="9" fillId="0" borderId="1" xfId="0" applyNumberFormat="1" applyFont="1" applyBorder="1" applyAlignment="1">
      <alignment horizontal="right"/>
    </xf>
    <xf numFmtId="1" fontId="32" fillId="0" borderId="1" xfId="0" applyNumberFormat="1" applyFont="1" applyBorder="1" applyAlignment="1">
      <alignment horizontal="right"/>
    </xf>
    <xf numFmtId="37" fontId="9" fillId="0" borderId="5" xfId="0" applyNumberFormat="1" applyFont="1" applyBorder="1" applyAlignment="1">
      <alignment horizontal="right"/>
    </xf>
    <xf numFmtId="37" fontId="9" fillId="0" borderId="1" xfId="0" applyNumberFormat="1" applyFont="1" applyBorder="1"/>
    <xf numFmtId="1" fontId="24" fillId="0" borderId="0" xfId="0" applyNumberFormat="1" applyFont="1"/>
    <xf numFmtId="37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fill" vertical="center"/>
    </xf>
    <xf numFmtId="1" fontId="9" fillId="0" borderId="0" xfId="0" applyNumberFormat="1" applyFont="1"/>
    <xf numFmtId="165" fontId="33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6" fontId="9" fillId="0" borderId="0" xfId="0" applyNumberFormat="1" applyFont="1"/>
    <xf numFmtId="38" fontId="1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" fontId="3" fillId="0" borderId="0" xfId="0" applyNumberFormat="1" applyFont="1"/>
    <xf numFmtId="170" fontId="3" fillId="0" borderId="0" xfId="0" applyNumberFormat="1" applyFont="1"/>
    <xf numFmtId="165" fontId="35" fillId="0" borderId="0" xfId="0" applyNumberFormat="1" applyFont="1" applyAlignment="1">
      <alignment horizontal="right"/>
    </xf>
    <xf numFmtId="165" fontId="35" fillId="0" borderId="0" xfId="0" applyNumberFormat="1" applyFont="1"/>
    <xf numFmtId="0" fontId="35" fillId="0" borderId="0" xfId="0" applyFont="1"/>
    <xf numFmtId="0" fontId="36" fillId="0" borderId="0" xfId="0" applyFont="1"/>
    <xf numFmtId="1" fontId="9" fillId="0" borderId="0" xfId="0" applyNumberFormat="1" applyFont="1" applyAlignment="1">
      <alignment horizontal="centerContinuous" vertical="center"/>
    </xf>
    <xf numFmtId="6" fontId="35" fillId="0" borderId="0" xfId="0" applyNumberFormat="1" applyFont="1"/>
    <xf numFmtId="8" fontId="35" fillId="0" borderId="0" xfId="0" applyNumberFormat="1" applyFont="1"/>
    <xf numFmtId="1" fontId="9" fillId="0" borderId="0" xfId="0" applyNumberFormat="1" applyFont="1" applyAlignment="1">
      <alignment horizontal="centerContinuous" vertical="top"/>
    </xf>
    <xf numFmtId="2" fontId="9" fillId="0" borderId="0" xfId="0" applyNumberFormat="1" applyFont="1"/>
    <xf numFmtId="10" fontId="35" fillId="0" borderId="0" xfId="0" applyNumberFormat="1" applyFont="1"/>
    <xf numFmtId="165" fontId="24" fillId="0" borderId="0" xfId="0" applyNumberFormat="1" applyFont="1" applyAlignment="1">
      <alignment horizontal="center"/>
    </xf>
    <xf numFmtId="3" fontId="31" fillId="0" borderId="0" xfId="0" applyNumberFormat="1" applyFont="1"/>
    <xf numFmtId="3" fontId="9" fillId="0" borderId="0" xfId="0" applyNumberFormat="1" applyFont="1"/>
    <xf numFmtId="165" fontId="24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/>
    <xf numFmtId="1" fontId="11" fillId="0" borderId="0" xfId="0" applyNumberFormat="1" applyFont="1"/>
    <xf numFmtId="1" fontId="9" fillId="0" borderId="3" xfId="0" applyNumberFormat="1" applyFont="1" applyBorder="1"/>
    <xf numFmtId="165" fontId="9" fillId="0" borderId="3" xfId="0" applyNumberFormat="1" applyFont="1" applyBorder="1" applyProtection="1">
      <protection locked="0"/>
    </xf>
    <xf numFmtId="3" fontId="27" fillId="5" borderId="1" xfId="0" applyNumberFormat="1" applyFont="1" applyFill="1" applyBorder="1" applyProtection="1">
      <protection locked="0"/>
    </xf>
    <xf numFmtId="165" fontId="17" fillId="5" borderId="0" xfId="0" applyNumberFormat="1" applyFont="1" applyFill="1" applyProtection="1">
      <protection locked="0"/>
    </xf>
    <xf numFmtId="3" fontId="27" fillId="5" borderId="0" xfId="0" applyNumberFormat="1" applyFont="1" applyFill="1" applyProtection="1">
      <protection locked="0"/>
    </xf>
    <xf numFmtId="165" fontId="9" fillId="0" borderId="1" xfId="0" applyNumberFormat="1" applyFont="1" applyBorder="1"/>
    <xf numFmtId="10" fontId="9" fillId="0" borderId="1" xfId="0" applyNumberFormat="1" applyFont="1" applyBorder="1"/>
    <xf numFmtId="172" fontId="9" fillId="0" borderId="0" xfId="0" applyNumberFormat="1" applyFont="1"/>
    <xf numFmtId="165" fontId="33" fillId="0" borderId="0" xfId="0" applyNumberFormat="1" applyFont="1"/>
    <xf numFmtId="165" fontId="3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right"/>
    </xf>
    <xf numFmtId="173" fontId="17" fillId="0" borderId="0" xfId="0" applyNumberFormat="1" applyFont="1"/>
    <xf numFmtId="165" fontId="3" fillId="0" borderId="0" xfId="0" applyNumberFormat="1" applyFont="1" applyAlignment="1">
      <alignment horizontal="centerContinuous"/>
    </xf>
    <xf numFmtId="174" fontId="17" fillId="0" borderId="0" xfId="0" applyNumberFormat="1" applyFont="1"/>
    <xf numFmtId="3" fontId="24" fillId="0" borderId="0" xfId="0" applyNumberFormat="1" applyFont="1" applyAlignment="1">
      <alignment horizontal="right"/>
    </xf>
    <xf numFmtId="174" fontId="27" fillId="0" borderId="0" xfId="0" applyNumberFormat="1" applyFont="1" applyAlignment="1">
      <alignment horizontal="right"/>
    </xf>
    <xf numFmtId="165" fontId="23" fillId="0" borderId="0" xfId="0" applyNumberFormat="1" applyFont="1"/>
    <xf numFmtId="1" fontId="9" fillId="0" borderId="0" xfId="0" applyNumberFormat="1" applyFont="1" applyProtection="1">
      <protection locked="0"/>
    </xf>
    <xf numFmtId="1" fontId="32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centerContinuous" vertical="center"/>
    </xf>
    <xf numFmtId="165" fontId="17" fillId="5" borderId="0" xfId="0" applyNumberFormat="1" applyFont="1" applyFill="1" applyAlignment="1" applyProtection="1">
      <alignment horizontal="left" indent="4"/>
      <protection locked="0"/>
    </xf>
    <xf numFmtId="165" fontId="17" fillId="5" borderId="4" xfId="0" applyNumberFormat="1" applyFont="1" applyFill="1" applyBorder="1" applyAlignment="1" applyProtection="1">
      <alignment horizontal="left" indent="4"/>
      <protection locked="0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/>
  </sheetViews>
  <sheetFormatPr defaultRowHeight="18" x14ac:dyDescent="0.25"/>
  <cols>
    <col min="1" max="1" width="28.44140625" customWidth="1"/>
    <col min="2" max="2" width="36.777343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s="1" t="s">
        <v>9</v>
      </c>
    </row>
    <row r="6" spans="1:2" x14ac:dyDescent="0.25">
      <c r="A6" t="s">
        <v>10</v>
      </c>
      <c r="B6">
        <v>30</v>
      </c>
    </row>
    <row r="7" spans="1:2" x14ac:dyDescent="0.25">
      <c r="A7" t="s">
        <v>11</v>
      </c>
      <c r="B7">
        <v>285</v>
      </c>
    </row>
    <row r="8" spans="1:2" x14ac:dyDescent="0.25">
      <c r="A8" t="s">
        <v>12</v>
      </c>
      <c r="B8">
        <v>0</v>
      </c>
    </row>
    <row r="9" spans="1:2" x14ac:dyDescent="0.25">
      <c r="A9" t="s">
        <v>13</v>
      </c>
      <c r="B9" s="2">
        <v>44719</v>
      </c>
    </row>
    <row r="10" spans="1:2" x14ac:dyDescent="0.25">
      <c r="A10" t="s">
        <v>14</v>
      </c>
      <c r="B10">
        <v>2022</v>
      </c>
    </row>
    <row r="11" spans="1:2" x14ac:dyDescent="0.25">
      <c r="A11" t="s">
        <v>15</v>
      </c>
      <c r="B11" s="2">
        <v>44531</v>
      </c>
    </row>
    <row r="12" spans="1:2" x14ac:dyDescent="0.25">
      <c r="A12" t="s">
        <v>16</v>
      </c>
      <c r="B12">
        <v>2023</v>
      </c>
    </row>
    <row r="13" spans="1:2" x14ac:dyDescent="0.25">
      <c r="A13" t="s">
        <v>17</v>
      </c>
      <c r="B13">
        <v>12</v>
      </c>
    </row>
    <row r="14" spans="1:2" x14ac:dyDescent="0.25">
      <c r="A14" t="s">
        <v>18</v>
      </c>
      <c r="B14" s="3">
        <v>4010905.36</v>
      </c>
    </row>
    <row r="15" spans="1:2" x14ac:dyDescent="0.25">
      <c r="A15" t="s">
        <v>19</v>
      </c>
      <c r="B15" s="3">
        <v>385000</v>
      </c>
    </row>
    <row r="16" spans="1:2" x14ac:dyDescent="0.25">
      <c r="A16" t="s">
        <v>20</v>
      </c>
      <c r="B16">
        <v>3.5000000000000003E-2</v>
      </c>
    </row>
    <row r="17" spans="1:2" x14ac:dyDescent="0.25">
      <c r="A17" t="s">
        <v>21</v>
      </c>
      <c r="B17">
        <v>7.0000000000000001E-3</v>
      </c>
    </row>
    <row r="18" spans="1:2" x14ac:dyDescent="0.25">
      <c r="A18" t="s">
        <v>22</v>
      </c>
      <c r="B18">
        <v>12</v>
      </c>
    </row>
    <row r="19" spans="1:2" x14ac:dyDescent="0.25">
      <c r="A19" s="4" t="s">
        <v>23</v>
      </c>
      <c r="B19" s="4" t="s">
        <v>24</v>
      </c>
    </row>
    <row r="20" spans="1:2" x14ac:dyDescent="0.25">
      <c r="A20" s="4" t="s">
        <v>25</v>
      </c>
      <c r="B20" s="4">
        <v>1</v>
      </c>
    </row>
    <row r="23" spans="1:2" x14ac:dyDescent="0.25">
      <c r="A23" s="5" t="s">
        <v>26</v>
      </c>
    </row>
    <row r="24" spans="1:2" x14ac:dyDescent="0.25">
      <c r="A24" t="s">
        <v>27</v>
      </c>
    </row>
    <row r="26" spans="1:2" x14ac:dyDescent="0.25">
      <c r="A26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29"/>
  <sheetViews>
    <sheetView topLeftCell="E1" zoomScale="55" zoomScaleNormal="55" workbookViewId="0">
      <selection activeCell="S27" sqref="S27"/>
    </sheetView>
  </sheetViews>
  <sheetFormatPr defaultRowHeight="18" x14ac:dyDescent="0.25"/>
  <cols>
    <col min="1" max="4" width="0" hidden="1" customWidth="1"/>
    <col min="5" max="5" width="9.44140625" customWidth="1"/>
    <col min="6" max="6" width="13.33203125" customWidth="1"/>
    <col min="7" max="7" width="11.33203125" customWidth="1"/>
    <col min="8" max="8" width="15.77734375" customWidth="1"/>
    <col min="9" max="9" width="81.33203125" customWidth="1"/>
    <col min="10" max="10" width="13.109375" customWidth="1"/>
    <col min="11" max="11" width="10.109375" customWidth="1"/>
    <col min="12" max="12" width="13.77734375" customWidth="1"/>
    <col min="13" max="13" width="15.6640625" customWidth="1"/>
    <col min="14" max="14" width="8.88671875" hidden="1" customWidth="1"/>
    <col min="15" max="15" width="15.6640625" customWidth="1"/>
    <col min="16" max="16" width="16.44140625" customWidth="1"/>
    <col min="17" max="17" width="8.88671875" hidden="1" customWidth="1"/>
    <col min="18" max="18" width="15.21875" customWidth="1"/>
    <col min="19" max="49" width="13.88671875" customWidth="1"/>
  </cols>
  <sheetData>
    <row r="1" spans="1:49" ht="30" customHeight="1" x14ac:dyDescent="0.35">
      <c r="F1" s="7"/>
      <c r="G1" s="7"/>
      <c r="H1" s="7"/>
      <c r="I1" s="8" t="s">
        <v>29</v>
      </c>
      <c r="J1" s="7"/>
      <c r="K1" s="7"/>
      <c r="L1" s="9"/>
      <c r="M1" s="9"/>
      <c r="N1" s="9"/>
      <c r="O1" s="9"/>
      <c r="P1" s="9"/>
      <c r="Q1" s="1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1" t="s">
        <v>30</v>
      </c>
      <c r="AI1" s="9"/>
      <c r="AJ1" s="9"/>
      <c r="AK1" s="12"/>
      <c r="AL1" s="12"/>
      <c r="AM1" s="12"/>
      <c r="AN1" s="7"/>
      <c r="AO1" s="12"/>
      <c r="AP1" s="12"/>
      <c r="AQ1" s="12"/>
      <c r="AR1" s="12"/>
      <c r="AS1" s="12"/>
      <c r="AT1" s="12"/>
      <c r="AU1" s="12"/>
      <c r="AV1" s="12"/>
      <c r="AW1" s="13" t="s">
        <v>31</v>
      </c>
    </row>
    <row r="2" spans="1:49" ht="26.1" customHeight="1" x14ac:dyDescent="0.4">
      <c r="E2" s="7"/>
      <c r="F2" s="7"/>
      <c r="G2" s="7"/>
      <c r="H2" s="7"/>
      <c r="I2" s="14" t="s">
        <v>32</v>
      </c>
      <c r="J2" s="15"/>
      <c r="K2" s="16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7"/>
      <c r="AL2" s="7"/>
      <c r="AM2" s="7"/>
      <c r="AN2" s="7"/>
      <c r="AO2" s="7"/>
      <c r="AP2" s="7"/>
      <c r="AQ2" s="7"/>
      <c r="AR2" s="17"/>
      <c r="AS2" s="7"/>
      <c r="AT2" s="7"/>
      <c r="AU2" s="7"/>
      <c r="AV2" s="7"/>
      <c r="AW2" s="7"/>
    </row>
    <row r="3" spans="1:49" ht="18.95" customHeight="1" x14ac:dyDescent="0.3">
      <c r="E3" s="18"/>
      <c r="F3" s="19"/>
      <c r="G3" s="18"/>
      <c r="H3" s="20"/>
      <c r="I3" s="21"/>
      <c r="J3" s="22"/>
      <c r="K3" s="23"/>
      <c r="L3" s="24"/>
      <c r="M3" s="25"/>
      <c r="N3" s="25"/>
      <c r="O3" s="25"/>
      <c r="P3" s="25"/>
      <c r="Q3" s="26"/>
      <c r="R3" s="7"/>
      <c r="S3" s="27"/>
      <c r="T3" s="28" t="s">
        <v>26</v>
      </c>
      <c r="U3" s="27"/>
      <c r="V3" s="27"/>
      <c r="W3" s="29"/>
      <c r="X3" s="30"/>
      <c r="Y3" s="30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1"/>
      <c r="AO3" s="32"/>
      <c r="AP3" s="32"/>
      <c r="AQ3" s="32"/>
      <c r="AR3" s="32"/>
      <c r="AS3" s="32"/>
      <c r="AT3" s="32"/>
      <c r="AU3" s="32"/>
      <c r="AV3" s="32"/>
      <c r="AW3" s="32"/>
    </row>
    <row r="4" spans="1:49" ht="21.95" customHeight="1" x14ac:dyDescent="0.25">
      <c r="E4" s="33"/>
      <c r="F4" s="19"/>
      <c r="G4" s="18"/>
      <c r="H4" s="18"/>
      <c r="I4" s="34" t="s">
        <v>33</v>
      </c>
      <c r="J4" s="35"/>
      <c r="K4" s="35"/>
      <c r="L4" s="36"/>
      <c r="M4" s="37"/>
      <c r="N4" s="37"/>
      <c r="O4" s="37"/>
      <c r="P4" s="37"/>
      <c r="Q4" s="38"/>
      <c r="R4" s="7"/>
      <c r="S4" s="39" t="s">
        <v>34</v>
      </c>
      <c r="T4" s="40">
        <v>3.5000000000000003E-2</v>
      </c>
      <c r="U4" s="41" t="s">
        <v>35</v>
      </c>
      <c r="V4" s="27"/>
      <c r="W4" s="29"/>
      <c r="X4" s="29"/>
      <c r="Y4" s="29"/>
      <c r="Z4" s="29"/>
      <c r="AA4" s="29"/>
      <c r="AB4" s="7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1:49" ht="21.95" customHeight="1" x14ac:dyDescent="0.25">
      <c r="E5" s="18"/>
      <c r="F5" s="19"/>
      <c r="G5" s="18"/>
      <c r="H5" s="20"/>
      <c r="I5" s="34" t="s">
        <v>36</v>
      </c>
      <c r="J5" s="43"/>
      <c r="K5" s="19"/>
      <c r="L5" s="18"/>
      <c r="M5" s="29"/>
      <c r="N5" s="29"/>
      <c r="O5" s="29"/>
      <c r="P5" s="29"/>
      <c r="Q5" s="44"/>
      <c r="R5" s="7"/>
      <c r="S5" s="39" t="s">
        <v>37</v>
      </c>
      <c r="T5" s="45" t="s">
        <v>38</v>
      </c>
      <c r="U5" s="27"/>
      <c r="V5" s="27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46"/>
      <c r="AO5" s="42"/>
      <c r="AP5" s="42"/>
      <c r="AQ5" s="42"/>
      <c r="AR5" s="42"/>
      <c r="AS5" s="42"/>
      <c r="AT5" s="42"/>
      <c r="AU5" s="42"/>
      <c r="AV5" s="42"/>
      <c r="AW5" s="42"/>
    </row>
    <row r="6" spans="1:49" ht="18.95" customHeight="1" x14ac:dyDescent="0.25">
      <c r="E6" s="18"/>
      <c r="F6" s="19"/>
      <c r="G6" s="18"/>
      <c r="H6" s="20"/>
      <c r="I6" s="47" t="s">
        <v>39</v>
      </c>
      <c r="J6" s="33"/>
      <c r="K6" s="49"/>
      <c r="L6" s="18"/>
      <c r="M6" s="18"/>
      <c r="N6" s="50"/>
      <c r="O6" s="7"/>
      <c r="P6" s="7"/>
      <c r="Q6" s="6"/>
      <c r="R6" s="18"/>
      <c r="S6" s="39" t="s">
        <v>29</v>
      </c>
      <c r="T6" s="45" t="s">
        <v>29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49" ht="18.95" customHeight="1" x14ac:dyDescent="0.3">
      <c r="E7" s="18"/>
      <c r="F7" s="51"/>
      <c r="G7" s="18"/>
      <c r="H7" s="20" t="s">
        <v>40</v>
      </c>
      <c r="I7" s="52"/>
      <c r="J7" s="51" t="s">
        <v>41</v>
      </c>
      <c r="K7" s="53" t="s">
        <v>42</v>
      </c>
      <c r="L7" s="54"/>
      <c r="M7" s="55" t="s">
        <v>43</v>
      </c>
      <c r="N7" s="56" t="s">
        <v>29</v>
      </c>
      <c r="O7" s="55"/>
      <c r="P7" s="57"/>
      <c r="Q7" s="58"/>
      <c r="R7" s="56" t="s">
        <v>44</v>
      </c>
      <c r="S7" s="59"/>
      <c r="T7" s="45" t="s">
        <v>29</v>
      </c>
      <c r="U7" s="60"/>
      <c r="V7" s="60"/>
      <c r="W7" s="60"/>
      <c r="X7" s="60"/>
      <c r="Y7" s="60"/>
      <c r="Z7" s="61"/>
      <c r="AA7" s="60"/>
      <c r="AB7" s="60"/>
      <c r="AC7" s="7"/>
      <c r="AD7" s="29"/>
      <c r="AE7" s="60"/>
      <c r="AF7" s="60"/>
      <c r="AG7" s="60"/>
      <c r="AH7" s="60"/>
      <c r="AI7" s="60"/>
      <c r="AJ7" s="60"/>
      <c r="AK7" s="60"/>
      <c r="AL7" s="60"/>
      <c r="AM7" s="60"/>
      <c r="AN7" s="62"/>
      <c r="AO7" s="62"/>
      <c r="AP7" s="62"/>
      <c r="AQ7" s="62"/>
      <c r="AR7" s="62"/>
      <c r="AS7" s="62"/>
      <c r="AT7" s="62"/>
      <c r="AU7" s="62"/>
      <c r="AV7" s="62"/>
      <c r="AW7" s="62"/>
    </row>
    <row r="8" spans="1:49" ht="18.95" customHeight="1" x14ac:dyDescent="0.3">
      <c r="B8" t="s">
        <v>97</v>
      </c>
      <c r="C8" t="s">
        <v>98</v>
      </c>
      <c r="E8" s="63" t="s">
        <v>45</v>
      </c>
      <c r="F8" s="64" t="s">
        <v>46</v>
      </c>
      <c r="G8" s="63" t="s">
        <v>47</v>
      </c>
      <c r="H8" s="48"/>
      <c r="I8" s="51"/>
      <c r="J8" s="63" t="s">
        <v>48</v>
      </c>
      <c r="K8" s="51" t="s">
        <v>49</v>
      </c>
      <c r="L8" s="51"/>
      <c r="M8" s="51" t="s">
        <v>50</v>
      </c>
      <c r="N8" s="51" t="s">
        <v>44</v>
      </c>
      <c r="O8" s="51" t="s">
        <v>47</v>
      </c>
      <c r="P8" s="51" t="s">
        <v>46</v>
      </c>
      <c r="Q8" s="65" t="s">
        <v>51</v>
      </c>
      <c r="R8" s="51" t="s">
        <v>52</v>
      </c>
      <c r="S8" s="66">
        <v>0</v>
      </c>
      <c r="T8" s="67">
        <v>1</v>
      </c>
      <c r="U8" s="67">
        <v>2</v>
      </c>
      <c r="V8" s="67">
        <v>3</v>
      </c>
      <c r="W8" s="67">
        <v>4</v>
      </c>
      <c r="X8" s="67">
        <v>5</v>
      </c>
      <c r="Y8" s="67">
        <v>6</v>
      </c>
      <c r="Z8" s="67">
        <v>7</v>
      </c>
      <c r="AA8" s="67">
        <v>8</v>
      </c>
      <c r="AB8" s="67">
        <v>9</v>
      </c>
      <c r="AC8" s="67">
        <v>10</v>
      </c>
      <c r="AD8" s="67">
        <v>11</v>
      </c>
      <c r="AE8" s="67">
        <v>12</v>
      </c>
      <c r="AF8" s="67">
        <v>13</v>
      </c>
      <c r="AG8" s="67">
        <v>14</v>
      </c>
      <c r="AH8" s="67">
        <v>15</v>
      </c>
      <c r="AI8" s="67">
        <v>16</v>
      </c>
      <c r="AJ8" s="67">
        <v>17</v>
      </c>
      <c r="AK8" s="67">
        <v>18</v>
      </c>
      <c r="AL8" s="67">
        <v>19</v>
      </c>
      <c r="AM8" s="67">
        <v>20</v>
      </c>
      <c r="AN8" s="68">
        <v>21</v>
      </c>
      <c r="AO8" s="68">
        <v>22</v>
      </c>
      <c r="AP8" s="68">
        <v>23</v>
      </c>
      <c r="AQ8" s="68">
        <v>24</v>
      </c>
      <c r="AR8" s="68">
        <v>25</v>
      </c>
      <c r="AS8" s="68">
        <v>26</v>
      </c>
      <c r="AT8" s="68">
        <v>27</v>
      </c>
      <c r="AU8" s="68">
        <v>28</v>
      </c>
      <c r="AV8" s="68">
        <v>29</v>
      </c>
      <c r="AW8" s="68">
        <v>30</v>
      </c>
    </row>
    <row r="9" spans="1:49" ht="18.95" customHeight="1" x14ac:dyDescent="0.3">
      <c r="A9" t="s">
        <v>99</v>
      </c>
      <c r="B9" t="s">
        <v>100</v>
      </c>
      <c r="C9" t="s">
        <v>47</v>
      </c>
      <c r="D9" t="s">
        <v>101</v>
      </c>
      <c r="E9" s="63" t="s">
        <v>53</v>
      </c>
      <c r="F9" s="63" t="s">
        <v>54</v>
      </c>
      <c r="G9" s="63" t="s">
        <v>54</v>
      </c>
      <c r="H9" s="63" t="s">
        <v>55</v>
      </c>
      <c r="I9" s="21" t="s">
        <v>56</v>
      </c>
      <c r="J9" s="51" t="s">
        <v>57</v>
      </c>
      <c r="K9" s="69" t="s">
        <v>58</v>
      </c>
      <c r="L9" s="69" t="s">
        <v>59</v>
      </c>
      <c r="M9" s="51" t="s">
        <v>60</v>
      </c>
      <c r="N9" s="51" t="s">
        <v>61</v>
      </c>
      <c r="O9" s="51" t="s">
        <v>60</v>
      </c>
      <c r="P9" s="51" t="s">
        <v>60</v>
      </c>
      <c r="Q9" s="65" t="s">
        <v>62</v>
      </c>
      <c r="R9" s="51" t="s">
        <v>63</v>
      </c>
      <c r="S9" s="70">
        <v>2022</v>
      </c>
      <c r="T9" s="67">
        <v>2023</v>
      </c>
      <c r="U9" s="67">
        <v>2024</v>
      </c>
      <c r="V9" s="67">
        <v>2025</v>
      </c>
      <c r="W9" s="67">
        <v>2026</v>
      </c>
      <c r="X9" s="67">
        <v>2027</v>
      </c>
      <c r="Y9" s="67">
        <v>2028</v>
      </c>
      <c r="Z9" s="67">
        <v>2029</v>
      </c>
      <c r="AA9" s="67">
        <v>2030</v>
      </c>
      <c r="AB9" s="67">
        <v>2031</v>
      </c>
      <c r="AC9" s="67">
        <v>2032</v>
      </c>
      <c r="AD9" s="67">
        <v>2033</v>
      </c>
      <c r="AE9" s="67">
        <v>2034</v>
      </c>
      <c r="AF9" s="67">
        <v>2035</v>
      </c>
      <c r="AG9" s="67">
        <v>2036</v>
      </c>
      <c r="AH9" s="67">
        <v>2037</v>
      </c>
      <c r="AI9" s="67">
        <v>2038</v>
      </c>
      <c r="AJ9" s="67">
        <v>2039</v>
      </c>
      <c r="AK9" s="67">
        <v>2040</v>
      </c>
      <c r="AL9" s="67">
        <v>2041</v>
      </c>
      <c r="AM9" s="67">
        <v>2042</v>
      </c>
      <c r="AN9" s="67">
        <v>2043</v>
      </c>
      <c r="AO9" s="67">
        <v>2044</v>
      </c>
      <c r="AP9" s="67">
        <v>2045</v>
      </c>
      <c r="AQ9" s="67">
        <v>2046</v>
      </c>
      <c r="AR9" s="67">
        <v>2047</v>
      </c>
      <c r="AS9" s="67">
        <v>2048</v>
      </c>
      <c r="AT9" s="67">
        <v>2049</v>
      </c>
      <c r="AU9" s="67">
        <v>2050</v>
      </c>
      <c r="AV9" s="67">
        <v>2051</v>
      </c>
      <c r="AW9" s="67">
        <v>2052</v>
      </c>
    </row>
    <row r="10" spans="1:49" ht="8.1" customHeight="1" x14ac:dyDescent="0.25">
      <c r="B10" t="s">
        <v>64</v>
      </c>
      <c r="C10" t="s">
        <v>64</v>
      </c>
      <c r="D10" t="s">
        <v>64</v>
      </c>
      <c r="E10" s="71" t="s">
        <v>64</v>
      </c>
      <c r="F10" s="71"/>
      <c r="G10" s="71" t="s">
        <v>64</v>
      </c>
      <c r="H10" s="71" t="s">
        <v>64</v>
      </c>
      <c r="I10" s="71" t="s">
        <v>64</v>
      </c>
      <c r="J10" s="72" t="s">
        <v>64</v>
      </c>
      <c r="K10" s="71" t="s">
        <v>64</v>
      </c>
      <c r="L10" s="72" t="s">
        <v>64</v>
      </c>
      <c r="M10" s="72" t="s">
        <v>64</v>
      </c>
      <c r="N10" s="72" t="s">
        <v>64</v>
      </c>
      <c r="O10" s="72" t="s">
        <v>64</v>
      </c>
      <c r="P10" s="71" t="s">
        <v>64</v>
      </c>
      <c r="Q10" s="71" t="s">
        <v>64</v>
      </c>
      <c r="R10" s="73" t="s">
        <v>64</v>
      </c>
      <c r="S10" s="72" t="s">
        <v>64</v>
      </c>
      <c r="T10" s="72" t="s">
        <v>64</v>
      </c>
      <c r="U10" s="72" t="s">
        <v>64</v>
      </c>
      <c r="V10" s="72" t="s">
        <v>64</v>
      </c>
      <c r="W10" s="72" t="s">
        <v>64</v>
      </c>
      <c r="X10" s="72" t="s">
        <v>64</v>
      </c>
      <c r="Y10" s="72" t="s">
        <v>64</v>
      </c>
      <c r="Z10" s="72" t="s">
        <v>64</v>
      </c>
      <c r="AA10" s="72" t="s">
        <v>64</v>
      </c>
      <c r="AB10" s="72" t="s">
        <v>64</v>
      </c>
      <c r="AC10" s="72" t="s">
        <v>64</v>
      </c>
      <c r="AD10" s="72" t="s">
        <v>64</v>
      </c>
      <c r="AE10" s="72" t="s">
        <v>64</v>
      </c>
      <c r="AF10" s="72" t="s">
        <v>64</v>
      </c>
      <c r="AG10" s="72" t="s">
        <v>64</v>
      </c>
      <c r="AH10" s="72" t="s">
        <v>64</v>
      </c>
      <c r="AI10" s="72" t="s">
        <v>64</v>
      </c>
      <c r="AJ10" s="72" t="s">
        <v>64</v>
      </c>
      <c r="AK10" s="72" t="s">
        <v>64</v>
      </c>
      <c r="AL10" s="72" t="s">
        <v>64</v>
      </c>
      <c r="AM10" s="72" t="s">
        <v>64</v>
      </c>
      <c r="AN10" s="72" t="s">
        <v>64</v>
      </c>
      <c r="AO10" s="72" t="s">
        <v>64</v>
      </c>
      <c r="AP10" s="72" t="s">
        <v>64</v>
      </c>
      <c r="AQ10" s="72" t="s">
        <v>64</v>
      </c>
      <c r="AR10" s="72" t="s">
        <v>64</v>
      </c>
      <c r="AS10" s="72" t="s">
        <v>64</v>
      </c>
      <c r="AT10" s="72" t="s">
        <v>64</v>
      </c>
      <c r="AU10" s="72" t="s">
        <v>64</v>
      </c>
      <c r="AV10" s="72" t="s">
        <v>64</v>
      </c>
      <c r="AW10" s="72" t="s">
        <v>64</v>
      </c>
    </row>
    <row r="11" spans="1:49" s="85" customFormat="1" ht="30" customHeight="1" x14ac:dyDescent="0.25">
      <c r="E11" s="86"/>
      <c r="F11" s="87"/>
      <c r="G11" s="88"/>
      <c r="I11" s="89" t="s">
        <v>65</v>
      </c>
      <c r="J11" s="90"/>
      <c r="K11" s="90"/>
      <c r="L11" s="90"/>
      <c r="M11" s="91"/>
      <c r="N11" s="92"/>
      <c r="O11" s="93"/>
      <c r="P11" s="93"/>
      <c r="Q11" s="93"/>
      <c r="R11" s="94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</row>
    <row r="12" spans="1:49" s="85" customFormat="1" ht="30" customHeight="1" x14ac:dyDescent="0.25">
      <c r="A12" s="85">
        <v>1</v>
      </c>
      <c r="B12" s="85">
        <v>1</v>
      </c>
      <c r="C12" s="85">
        <v>1</v>
      </c>
      <c r="D12" s="85">
        <v>7</v>
      </c>
      <c r="E12" s="86">
        <v>4.0199999999999996</v>
      </c>
      <c r="F12" s="87">
        <v>42470</v>
      </c>
      <c r="G12" s="88">
        <v>42470</v>
      </c>
      <c r="H12" s="85" t="s">
        <v>66</v>
      </c>
      <c r="I12" s="85" t="s">
        <v>67</v>
      </c>
      <c r="J12" s="90">
        <f t="shared" ref="J12:J27" si="0">Current_Fiscal_Year+MATCH(TRUE,INDEX($S12:$AW12&lt;&gt;"",0),0)-1</f>
        <v>2023</v>
      </c>
      <c r="K12" s="90" t="s">
        <v>68</v>
      </c>
      <c r="L12" s="90" t="str">
        <f t="shared" ref="L12:L27" si="1">$J12-Current_Fiscal_Year&amp;IF(COUNT($S12:$AW12)*$G12/$F12&lt;1," to 30+",IF($C12&gt;1," to "&amp;IF(J12-Current_Fiscal_Year+$B12-1&gt;30,"30+",J12-Current_Fiscal_Year+$B12-1),))</f>
        <v>1</v>
      </c>
      <c r="M12" s="91">
        <v>4</v>
      </c>
      <c r="N12" s="92">
        <v>1</v>
      </c>
      <c r="O12" s="93">
        <f t="shared" ref="O12:O27" si="2">$N12*$G12*$M12</f>
        <v>169880</v>
      </c>
      <c r="P12" s="93">
        <f t="shared" ref="P12:P27" si="3">$N12*$F12*$M12</f>
        <v>169880</v>
      </c>
      <c r="Q12" s="93">
        <f t="shared" ref="Q12:Q27" si="4">SUM(S12:AX12)</f>
        <v>1506929</v>
      </c>
      <c r="R12" s="94">
        <f t="shared" ref="R12:R27" si="5">SUM(S12:AW12)/expenditures</f>
        <v>4.5820684540981142E-2</v>
      </c>
      <c r="S12" s="95" t="s">
        <v>29</v>
      </c>
      <c r="T12" s="95">
        <f>ROUND($O12*(1+inflation)^T$8,0)</f>
        <v>175826</v>
      </c>
      <c r="U12" s="95" t="s">
        <v>29</v>
      </c>
      <c r="V12" s="95" t="s">
        <v>29</v>
      </c>
      <c r="W12" s="95" t="s">
        <v>29</v>
      </c>
      <c r="X12" s="95" t="s">
        <v>29</v>
      </c>
      <c r="Y12" s="95" t="s">
        <v>29</v>
      </c>
      <c r="Z12" s="95" t="s">
        <v>29</v>
      </c>
      <c r="AA12" s="95">
        <f>ROUND($O12*(1+inflation)^AA$8,0)</f>
        <v>223700</v>
      </c>
      <c r="AB12" s="95" t="s">
        <v>29</v>
      </c>
      <c r="AC12" s="95" t="s">
        <v>29</v>
      </c>
      <c r="AD12" s="95" t="s">
        <v>29</v>
      </c>
      <c r="AE12" s="95" t="s">
        <v>29</v>
      </c>
      <c r="AF12" s="95" t="s">
        <v>29</v>
      </c>
      <c r="AG12" s="95" t="s">
        <v>29</v>
      </c>
      <c r="AH12" s="95">
        <f>ROUND($O12*(1+inflation)^AH$8,0)</f>
        <v>284608</v>
      </c>
      <c r="AI12" s="95" t="s">
        <v>29</v>
      </c>
      <c r="AJ12" s="95" t="s">
        <v>29</v>
      </c>
      <c r="AK12" s="95" t="s">
        <v>29</v>
      </c>
      <c r="AL12" s="95" t="s">
        <v>29</v>
      </c>
      <c r="AM12" s="95" t="s">
        <v>29</v>
      </c>
      <c r="AN12" s="95" t="s">
        <v>29</v>
      </c>
      <c r="AO12" s="95">
        <f>ROUND($O12*(1+inflation)^AO$8,0)</f>
        <v>362101</v>
      </c>
      <c r="AP12" s="95" t="s">
        <v>29</v>
      </c>
      <c r="AQ12" s="95" t="s">
        <v>29</v>
      </c>
      <c r="AR12" s="95" t="s">
        <v>29</v>
      </c>
      <c r="AS12" s="95" t="s">
        <v>29</v>
      </c>
      <c r="AT12" s="95" t="s">
        <v>29</v>
      </c>
      <c r="AU12" s="95" t="s">
        <v>29</v>
      </c>
      <c r="AV12" s="95">
        <f>ROUND($O12*(1+inflation)^AV$8,0)</f>
        <v>460694</v>
      </c>
      <c r="AW12" s="95" t="s">
        <v>29</v>
      </c>
    </row>
    <row r="13" spans="1:49" s="77" customFormat="1" ht="30" customHeight="1" x14ac:dyDescent="0.25">
      <c r="A13" s="77">
        <v>1</v>
      </c>
      <c r="B13" s="77">
        <v>2</v>
      </c>
      <c r="C13" s="77">
        <v>2</v>
      </c>
      <c r="D13" s="77">
        <v>14</v>
      </c>
      <c r="E13" s="74">
        <v>4.0209999999999999</v>
      </c>
      <c r="F13" s="75">
        <v>127710</v>
      </c>
      <c r="G13" s="76">
        <v>63855</v>
      </c>
      <c r="H13" s="77" t="s">
        <v>66</v>
      </c>
      <c r="I13" s="77" t="s">
        <v>70</v>
      </c>
      <c r="J13" s="78">
        <f t="shared" si="0"/>
        <v>2024</v>
      </c>
      <c r="K13" s="78" t="s">
        <v>71</v>
      </c>
      <c r="L13" s="78" t="str">
        <f t="shared" si="1"/>
        <v>2 to 3</v>
      </c>
      <c r="M13" s="79">
        <v>4</v>
      </c>
      <c r="N13" s="80">
        <v>1</v>
      </c>
      <c r="O13" s="81">
        <f t="shared" si="2"/>
        <v>255420</v>
      </c>
      <c r="P13" s="81">
        <f t="shared" si="3"/>
        <v>510840</v>
      </c>
      <c r="Q13" s="81">
        <f t="shared" si="4"/>
        <v>2175003</v>
      </c>
      <c r="R13" s="82">
        <f t="shared" si="5"/>
        <v>6.613458652576705E-2</v>
      </c>
      <c r="S13" s="83" t="s">
        <v>29</v>
      </c>
      <c r="T13" s="83" t="s">
        <v>29</v>
      </c>
      <c r="U13" s="83">
        <f>ROUND($O13*(1+inflation)^U$8,0)</f>
        <v>273612</v>
      </c>
      <c r="V13" s="83">
        <f>ROUND($O13*(1+inflation)^V$8,0)</f>
        <v>283189</v>
      </c>
      <c r="W13" s="83" t="s">
        <v>29</v>
      </c>
      <c r="X13" s="83" t="s">
        <v>29</v>
      </c>
      <c r="Y13" s="83" t="s">
        <v>29</v>
      </c>
      <c r="Z13" s="83" t="s">
        <v>29</v>
      </c>
      <c r="AA13" s="83" t="s">
        <v>29</v>
      </c>
      <c r="AB13" s="83" t="s">
        <v>29</v>
      </c>
      <c r="AC13" s="83" t="s">
        <v>29</v>
      </c>
      <c r="AD13" s="83" t="s">
        <v>29</v>
      </c>
      <c r="AE13" s="83" t="s">
        <v>29</v>
      </c>
      <c r="AF13" s="83" t="s">
        <v>29</v>
      </c>
      <c r="AG13" s="83" t="s">
        <v>29</v>
      </c>
      <c r="AH13" s="83" t="s">
        <v>29</v>
      </c>
      <c r="AI13" s="83">
        <f>ROUND($O13*(1+inflation)^AI$8,0)</f>
        <v>442895</v>
      </c>
      <c r="AJ13" s="83">
        <f>ROUND($O13*(1+inflation)^AJ$8,0)</f>
        <v>458396</v>
      </c>
      <c r="AK13" s="83" t="s">
        <v>29</v>
      </c>
      <c r="AL13" s="83" t="s">
        <v>29</v>
      </c>
      <c r="AM13" s="83" t="s">
        <v>29</v>
      </c>
      <c r="AN13" s="83" t="s">
        <v>29</v>
      </c>
      <c r="AO13" s="83" t="s">
        <v>29</v>
      </c>
      <c r="AP13" s="83" t="s">
        <v>29</v>
      </c>
      <c r="AQ13" s="83" t="s">
        <v>29</v>
      </c>
      <c r="AR13" s="83" t="s">
        <v>29</v>
      </c>
      <c r="AS13" s="83" t="s">
        <v>29</v>
      </c>
      <c r="AT13" s="83" t="s">
        <v>29</v>
      </c>
      <c r="AU13" s="83" t="s">
        <v>29</v>
      </c>
      <c r="AV13" s="83" t="s">
        <v>29</v>
      </c>
      <c r="AW13" s="83">
        <f>ROUND($O13*(1+inflation)^AW$8,0)</f>
        <v>716911</v>
      </c>
    </row>
    <row r="14" spans="1:49" s="77" customFormat="1" ht="30" customHeight="1" x14ac:dyDescent="0.25">
      <c r="A14" s="77">
        <v>1</v>
      </c>
      <c r="B14" s="77">
        <v>2</v>
      </c>
      <c r="C14" s="77">
        <v>2</v>
      </c>
      <c r="D14" s="77">
        <v>18</v>
      </c>
      <c r="E14" s="74">
        <v>4.0229999999999997</v>
      </c>
      <c r="F14" s="75">
        <v>90400</v>
      </c>
      <c r="G14" s="76">
        <v>45200</v>
      </c>
      <c r="H14" s="77" t="s">
        <v>66</v>
      </c>
      <c r="I14" s="77" t="s">
        <v>72</v>
      </c>
      <c r="J14" s="78">
        <f t="shared" si="0"/>
        <v>2026</v>
      </c>
      <c r="K14" s="78" t="s">
        <v>71</v>
      </c>
      <c r="L14" s="78" t="str">
        <f t="shared" si="1"/>
        <v>4 to 5</v>
      </c>
      <c r="M14" s="79">
        <v>4</v>
      </c>
      <c r="N14" s="80">
        <v>1</v>
      </c>
      <c r="O14" s="81">
        <f t="shared" si="2"/>
        <v>180800</v>
      </c>
      <c r="P14" s="81">
        <f t="shared" si="3"/>
        <v>361600</v>
      </c>
      <c r="Q14" s="81">
        <f t="shared" si="4"/>
        <v>1206448</v>
      </c>
      <c r="R14" s="82">
        <f t="shared" si="5"/>
        <v>3.6684059582832121E-2</v>
      </c>
      <c r="S14" s="83" t="s">
        <v>29</v>
      </c>
      <c r="T14" s="83" t="s">
        <v>29</v>
      </c>
      <c r="U14" s="83" t="s">
        <v>29</v>
      </c>
      <c r="V14" s="83" t="s">
        <v>29</v>
      </c>
      <c r="W14" s="83">
        <f>ROUND($O14*(1+inflation)^W$8,0)</f>
        <v>207472</v>
      </c>
      <c r="X14" s="83">
        <f>ROUND($O14*(1+inflation)^X$8,0)</f>
        <v>214734</v>
      </c>
      <c r="Y14" s="83" t="s">
        <v>29</v>
      </c>
      <c r="Z14" s="83" t="s">
        <v>29</v>
      </c>
      <c r="AA14" s="83" t="s">
        <v>29</v>
      </c>
      <c r="AB14" s="83" t="s">
        <v>29</v>
      </c>
      <c r="AC14" s="83" t="s">
        <v>29</v>
      </c>
      <c r="AD14" s="83" t="s">
        <v>29</v>
      </c>
      <c r="AE14" s="83" t="s">
        <v>29</v>
      </c>
      <c r="AF14" s="83" t="s">
        <v>29</v>
      </c>
      <c r="AG14" s="83" t="s">
        <v>29</v>
      </c>
      <c r="AH14" s="83" t="s">
        <v>29</v>
      </c>
      <c r="AI14" s="83" t="s">
        <v>29</v>
      </c>
      <c r="AJ14" s="83" t="s">
        <v>29</v>
      </c>
      <c r="AK14" s="83" t="s">
        <v>29</v>
      </c>
      <c r="AL14" s="83" t="s">
        <v>29</v>
      </c>
      <c r="AM14" s="83" t="s">
        <v>29</v>
      </c>
      <c r="AN14" s="83" t="s">
        <v>29</v>
      </c>
      <c r="AO14" s="83">
        <f>ROUND($O14*(1+inflation)^AO$8,0)</f>
        <v>385377</v>
      </c>
      <c r="AP14" s="83">
        <f>ROUND($O14*(1+inflation)^AP$8,0)</f>
        <v>398865</v>
      </c>
      <c r="AQ14" s="83" t="s">
        <v>29</v>
      </c>
      <c r="AR14" s="83" t="s">
        <v>29</v>
      </c>
      <c r="AS14" s="83" t="s">
        <v>29</v>
      </c>
      <c r="AT14" s="83" t="s">
        <v>29</v>
      </c>
      <c r="AU14" s="83" t="s">
        <v>29</v>
      </c>
      <c r="AV14" s="83" t="s">
        <v>29</v>
      </c>
      <c r="AW14" s="83" t="s">
        <v>29</v>
      </c>
    </row>
    <row r="15" spans="1:49" s="77" customFormat="1" ht="30" customHeight="1" x14ac:dyDescent="0.25">
      <c r="A15" s="77">
        <v>1</v>
      </c>
      <c r="B15" s="77">
        <v>1</v>
      </c>
      <c r="C15" s="77">
        <v>1</v>
      </c>
      <c r="D15" s="77">
        <v>40</v>
      </c>
      <c r="E15" s="74">
        <v>4.04</v>
      </c>
      <c r="F15" s="75">
        <v>42470</v>
      </c>
      <c r="G15" s="76">
        <v>42470</v>
      </c>
      <c r="H15" s="77" t="s">
        <v>66</v>
      </c>
      <c r="I15" s="77" t="s">
        <v>73</v>
      </c>
      <c r="J15" s="78">
        <f t="shared" si="0"/>
        <v>2027</v>
      </c>
      <c r="K15" s="78" t="s">
        <v>74</v>
      </c>
      <c r="L15" s="78" t="str">
        <f t="shared" si="1"/>
        <v>5</v>
      </c>
      <c r="M15" s="79">
        <v>19</v>
      </c>
      <c r="N15" s="80">
        <v>1</v>
      </c>
      <c r="O15" s="81">
        <f t="shared" si="2"/>
        <v>806930</v>
      </c>
      <c r="P15" s="81">
        <f t="shared" si="3"/>
        <v>806930</v>
      </c>
      <c r="Q15" s="81">
        <f t="shared" si="4"/>
        <v>958380</v>
      </c>
      <c r="R15" s="82">
        <f t="shared" si="5"/>
        <v>2.9141139131561945E-2</v>
      </c>
      <c r="S15" s="83" t="s">
        <v>29</v>
      </c>
      <c r="T15" s="83" t="s">
        <v>29</v>
      </c>
      <c r="U15" s="83" t="s">
        <v>29</v>
      </c>
      <c r="V15" s="83" t="s">
        <v>29</v>
      </c>
      <c r="W15" s="83" t="s">
        <v>29</v>
      </c>
      <c r="X15" s="83">
        <f>ROUND($O15*(1+inflation)^X$8,0)</f>
        <v>958380</v>
      </c>
      <c r="Y15" s="83" t="s">
        <v>29</v>
      </c>
      <c r="Z15" s="83" t="s">
        <v>29</v>
      </c>
      <c r="AA15" s="83" t="s">
        <v>29</v>
      </c>
      <c r="AB15" s="83" t="s">
        <v>29</v>
      </c>
      <c r="AC15" s="83" t="s">
        <v>29</v>
      </c>
      <c r="AD15" s="83" t="s">
        <v>29</v>
      </c>
      <c r="AE15" s="83" t="s">
        <v>29</v>
      </c>
      <c r="AF15" s="83" t="s">
        <v>29</v>
      </c>
      <c r="AG15" s="83" t="s">
        <v>29</v>
      </c>
      <c r="AH15" s="83" t="s">
        <v>29</v>
      </c>
      <c r="AI15" s="83" t="s">
        <v>29</v>
      </c>
      <c r="AJ15" s="83" t="s">
        <v>29</v>
      </c>
      <c r="AK15" s="83" t="s">
        <v>29</v>
      </c>
      <c r="AL15" s="83" t="s">
        <v>29</v>
      </c>
      <c r="AM15" s="83" t="s">
        <v>29</v>
      </c>
      <c r="AN15" s="83" t="s">
        <v>29</v>
      </c>
      <c r="AO15" s="83" t="s">
        <v>29</v>
      </c>
      <c r="AP15" s="83" t="s">
        <v>29</v>
      </c>
      <c r="AQ15" s="83" t="s">
        <v>29</v>
      </c>
      <c r="AR15" s="83" t="s">
        <v>29</v>
      </c>
      <c r="AS15" s="83" t="s">
        <v>29</v>
      </c>
      <c r="AT15" s="83" t="s">
        <v>29</v>
      </c>
      <c r="AU15" s="83" t="s">
        <v>29</v>
      </c>
      <c r="AV15" s="83" t="s">
        <v>29</v>
      </c>
      <c r="AW15" s="83" t="s">
        <v>29</v>
      </c>
    </row>
    <row r="16" spans="1:49" s="85" customFormat="1" ht="30" customHeight="1" x14ac:dyDescent="0.25">
      <c r="A16" s="85">
        <v>1</v>
      </c>
      <c r="B16" s="85">
        <v>3</v>
      </c>
      <c r="C16" s="85">
        <v>3</v>
      </c>
      <c r="D16" s="85">
        <v>40</v>
      </c>
      <c r="E16" s="86">
        <v>4.0430000000000001</v>
      </c>
      <c r="F16" s="87">
        <v>127710</v>
      </c>
      <c r="G16" s="88">
        <v>42570</v>
      </c>
      <c r="H16" s="85" t="s">
        <v>66</v>
      </c>
      <c r="I16" s="85" t="s">
        <v>75</v>
      </c>
      <c r="J16" s="90">
        <f t="shared" si="0"/>
        <v>2029</v>
      </c>
      <c r="K16" s="90" t="s">
        <v>76</v>
      </c>
      <c r="L16" s="90" t="str">
        <f t="shared" si="1"/>
        <v>7 to 9</v>
      </c>
      <c r="M16" s="91">
        <v>19</v>
      </c>
      <c r="N16" s="92">
        <v>1</v>
      </c>
      <c r="O16" s="93">
        <f t="shared" si="2"/>
        <v>808830</v>
      </c>
      <c r="P16" s="93">
        <f t="shared" si="3"/>
        <v>2426490</v>
      </c>
      <c r="Q16" s="93">
        <f t="shared" si="4"/>
        <v>3196485</v>
      </c>
      <c r="R16" s="94">
        <f t="shared" si="5"/>
        <v>9.7194447001138148E-2</v>
      </c>
      <c r="S16" s="95" t="s">
        <v>29</v>
      </c>
      <c r="T16" s="95" t="s">
        <v>29</v>
      </c>
      <c r="U16" s="95" t="s">
        <v>29</v>
      </c>
      <c r="V16" s="95" t="s">
        <v>29</v>
      </c>
      <c r="W16" s="95" t="s">
        <v>29</v>
      </c>
      <c r="X16" s="95" t="s">
        <v>29</v>
      </c>
      <c r="Y16" s="95" t="s">
        <v>29</v>
      </c>
      <c r="Z16" s="95">
        <f>ROUND($O16*(1+inflation)^Z$8,0)</f>
        <v>1029058</v>
      </c>
      <c r="AA16" s="95">
        <f>ROUND($O16*(1+inflation)^AA$8,0)</f>
        <v>1065075</v>
      </c>
      <c r="AB16" s="95">
        <f>ROUND($O16*(1+inflation)^AB$8,0)</f>
        <v>1102352</v>
      </c>
      <c r="AC16" s="95" t="s">
        <v>29</v>
      </c>
      <c r="AD16" s="95" t="s">
        <v>29</v>
      </c>
      <c r="AE16" s="95" t="s">
        <v>29</v>
      </c>
      <c r="AF16" s="95" t="s">
        <v>29</v>
      </c>
      <c r="AG16" s="95" t="s">
        <v>29</v>
      </c>
      <c r="AH16" s="95" t="s">
        <v>29</v>
      </c>
      <c r="AI16" s="95" t="s">
        <v>29</v>
      </c>
      <c r="AJ16" s="95" t="s">
        <v>29</v>
      </c>
      <c r="AK16" s="95" t="s">
        <v>29</v>
      </c>
      <c r="AL16" s="95" t="s">
        <v>29</v>
      </c>
      <c r="AM16" s="95" t="s">
        <v>29</v>
      </c>
      <c r="AN16" s="95" t="s">
        <v>29</v>
      </c>
      <c r="AO16" s="95" t="s">
        <v>29</v>
      </c>
      <c r="AP16" s="95" t="s">
        <v>29</v>
      </c>
      <c r="AQ16" s="95" t="s">
        <v>29</v>
      </c>
      <c r="AR16" s="95" t="s">
        <v>29</v>
      </c>
      <c r="AS16" s="95" t="s">
        <v>29</v>
      </c>
      <c r="AT16" s="95" t="s">
        <v>29</v>
      </c>
      <c r="AU16" s="95" t="s">
        <v>29</v>
      </c>
      <c r="AV16" s="95" t="s">
        <v>29</v>
      </c>
      <c r="AW16" s="95" t="s">
        <v>29</v>
      </c>
    </row>
    <row r="17" spans="1:49" s="85" customFormat="1" ht="30" customHeight="1" x14ac:dyDescent="0.25">
      <c r="A17" s="85">
        <v>1</v>
      </c>
      <c r="B17" s="85">
        <v>2</v>
      </c>
      <c r="C17" s="85">
        <v>2</v>
      </c>
      <c r="D17" s="85">
        <v>50</v>
      </c>
      <c r="E17" s="86">
        <v>4.0460000000000003</v>
      </c>
      <c r="F17" s="87">
        <v>90400</v>
      </c>
      <c r="G17" s="88">
        <v>45200</v>
      </c>
      <c r="H17" s="85" t="s">
        <v>66</v>
      </c>
      <c r="I17" s="85" t="s">
        <v>77</v>
      </c>
      <c r="J17" s="90">
        <f t="shared" si="0"/>
        <v>2035</v>
      </c>
      <c r="K17" s="90" t="s">
        <v>76</v>
      </c>
      <c r="L17" s="90" t="str">
        <f t="shared" si="1"/>
        <v>13 to 14</v>
      </c>
      <c r="M17" s="91">
        <v>19</v>
      </c>
      <c r="N17" s="92">
        <v>1</v>
      </c>
      <c r="O17" s="93">
        <f t="shared" si="2"/>
        <v>858800</v>
      </c>
      <c r="P17" s="93">
        <f t="shared" si="3"/>
        <v>1717600</v>
      </c>
      <c r="Q17" s="93">
        <f t="shared" si="4"/>
        <v>2733260</v>
      </c>
      <c r="R17" s="94">
        <f t="shared" si="5"/>
        <v>8.3109319834233808E-2</v>
      </c>
      <c r="S17" s="95" t="s">
        <v>29</v>
      </c>
      <c r="T17" s="95" t="s">
        <v>29</v>
      </c>
      <c r="U17" s="95" t="s">
        <v>29</v>
      </c>
      <c r="V17" s="95" t="s">
        <v>29</v>
      </c>
      <c r="W17" s="95" t="s">
        <v>29</v>
      </c>
      <c r="X17" s="95" t="s">
        <v>29</v>
      </c>
      <c r="Y17" s="95" t="s">
        <v>29</v>
      </c>
      <c r="Z17" s="95" t="s">
        <v>29</v>
      </c>
      <c r="AA17" s="95" t="s">
        <v>29</v>
      </c>
      <c r="AB17" s="95" t="s">
        <v>29</v>
      </c>
      <c r="AC17" s="95" t="s">
        <v>29</v>
      </c>
      <c r="AD17" s="95" t="s">
        <v>29</v>
      </c>
      <c r="AE17" s="95" t="s">
        <v>29</v>
      </c>
      <c r="AF17" s="95">
        <f>ROUND($O17*(1+inflation)^AF$8,0)</f>
        <v>1343125</v>
      </c>
      <c r="AG17" s="95">
        <f>ROUND($O17*(1+inflation)^AG$8,0)</f>
        <v>1390135</v>
      </c>
      <c r="AH17" s="95" t="s">
        <v>29</v>
      </c>
      <c r="AI17" s="95" t="s">
        <v>29</v>
      </c>
      <c r="AJ17" s="95" t="s">
        <v>29</v>
      </c>
      <c r="AK17" s="95" t="s">
        <v>29</v>
      </c>
      <c r="AL17" s="95" t="s">
        <v>29</v>
      </c>
      <c r="AM17" s="95" t="s">
        <v>29</v>
      </c>
      <c r="AN17" s="95" t="s">
        <v>29</v>
      </c>
      <c r="AO17" s="95" t="s">
        <v>29</v>
      </c>
      <c r="AP17" s="95" t="s">
        <v>29</v>
      </c>
      <c r="AQ17" s="95" t="s">
        <v>29</v>
      </c>
      <c r="AR17" s="95" t="s">
        <v>29</v>
      </c>
      <c r="AS17" s="95" t="s">
        <v>29</v>
      </c>
      <c r="AT17" s="95" t="s">
        <v>29</v>
      </c>
      <c r="AU17" s="95" t="s">
        <v>29</v>
      </c>
      <c r="AV17" s="95" t="s">
        <v>29</v>
      </c>
      <c r="AW17" s="95" t="s">
        <v>29</v>
      </c>
    </row>
    <row r="18" spans="1:49" s="85" customFormat="1" ht="30" customHeight="1" x14ac:dyDescent="0.25">
      <c r="A18" s="85">
        <v>1</v>
      </c>
      <c r="B18" s="85">
        <v>1</v>
      </c>
      <c r="C18" s="85">
        <v>1</v>
      </c>
      <c r="D18" s="85">
        <v>40</v>
      </c>
      <c r="E18" s="86">
        <v>4.05</v>
      </c>
      <c r="F18" s="87">
        <v>42470</v>
      </c>
      <c r="G18" s="88">
        <v>42470</v>
      </c>
      <c r="H18" s="85" t="s">
        <v>66</v>
      </c>
      <c r="I18" s="85" t="s">
        <v>78</v>
      </c>
      <c r="J18" s="90">
        <f t="shared" si="0"/>
        <v>2041</v>
      </c>
      <c r="K18" s="90" t="s">
        <v>74</v>
      </c>
      <c r="L18" s="90" t="str">
        <f t="shared" si="1"/>
        <v>19</v>
      </c>
      <c r="M18" s="91">
        <v>36</v>
      </c>
      <c r="N18" s="92">
        <v>1</v>
      </c>
      <c r="O18" s="93">
        <f t="shared" si="2"/>
        <v>1528920</v>
      </c>
      <c r="P18" s="93">
        <f t="shared" si="3"/>
        <v>1528920</v>
      </c>
      <c r="Q18" s="93">
        <f t="shared" si="4"/>
        <v>2939351</v>
      </c>
      <c r="R18" s="94">
        <f t="shared" si="5"/>
        <v>8.9375859729434806E-2</v>
      </c>
      <c r="S18" s="95" t="s">
        <v>29</v>
      </c>
      <c r="T18" s="95" t="s">
        <v>29</v>
      </c>
      <c r="U18" s="95" t="s">
        <v>29</v>
      </c>
      <c r="V18" s="95" t="s">
        <v>29</v>
      </c>
      <c r="W18" s="95" t="s">
        <v>29</v>
      </c>
      <c r="X18" s="95" t="s">
        <v>29</v>
      </c>
      <c r="Y18" s="95" t="s">
        <v>29</v>
      </c>
      <c r="Z18" s="95" t="s">
        <v>29</v>
      </c>
      <c r="AA18" s="95" t="s">
        <v>29</v>
      </c>
      <c r="AB18" s="95" t="s">
        <v>29</v>
      </c>
      <c r="AC18" s="95" t="s">
        <v>29</v>
      </c>
      <c r="AD18" s="95" t="s">
        <v>29</v>
      </c>
      <c r="AE18" s="95" t="s">
        <v>29</v>
      </c>
      <c r="AF18" s="95" t="s">
        <v>29</v>
      </c>
      <c r="AG18" s="95" t="s">
        <v>29</v>
      </c>
      <c r="AH18" s="95" t="s">
        <v>29</v>
      </c>
      <c r="AI18" s="95" t="s">
        <v>29</v>
      </c>
      <c r="AJ18" s="95" t="s">
        <v>29</v>
      </c>
      <c r="AK18" s="95" t="s">
        <v>29</v>
      </c>
      <c r="AL18" s="95">
        <f>ROUND($O18*(1+inflation)^AL$8,0)</f>
        <v>2939351</v>
      </c>
      <c r="AM18" s="95" t="s">
        <v>29</v>
      </c>
      <c r="AN18" s="95" t="s">
        <v>29</v>
      </c>
      <c r="AO18" s="95" t="s">
        <v>29</v>
      </c>
      <c r="AP18" s="95" t="s">
        <v>29</v>
      </c>
      <c r="AQ18" s="95" t="s">
        <v>29</v>
      </c>
      <c r="AR18" s="95" t="s">
        <v>29</v>
      </c>
      <c r="AS18" s="95" t="s">
        <v>29</v>
      </c>
      <c r="AT18" s="95" t="s">
        <v>29</v>
      </c>
      <c r="AU18" s="95" t="s">
        <v>29</v>
      </c>
      <c r="AV18" s="95" t="s">
        <v>29</v>
      </c>
      <c r="AW18" s="95" t="s">
        <v>29</v>
      </c>
    </row>
    <row r="19" spans="1:49" s="77" customFormat="1" ht="30" customHeight="1" x14ac:dyDescent="0.25">
      <c r="A19" s="77">
        <v>1</v>
      </c>
      <c r="B19" s="77">
        <v>3</v>
      </c>
      <c r="C19" s="77">
        <v>3</v>
      </c>
      <c r="D19" s="77">
        <v>17</v>
      </c>
      <c r="E19" s="74">
        <v>4.0510000000000002</v>
      </c>
      <c r="F19" s="75">
        <v>127710</v>
      </c>
      <c r="G19" s="76">
        <v>42570</v>
      </c>
      <c r="H19" s="77" t="s">
        <v>66</v>
      </c>
      <c r="I19" s="77" t="s">
        <v>79</v>
      </c>
      <c r="J19" s="78">
        <f t="shared" si="0"/>
        <v>2049</v>
      </c>
      <c r="K19" s="78" t="s">
        <v>76</v>
      </c>
      <c r="L19" s="78" t="str">
        <f t="shared" si="1"/>
        <v>27 to 29</v>
      </c>
      <c r="M19" s="79">
        <v>36</v>
      </c>
      <c r="N19" s="80">
        <v>1</v>
      </c>
      <c r="O19" s="81">
        <f t="shared" si="2"/>
        <v>1532520</v>
      </c>
      <c r="P19" s="81">
        <f t="shared" si="3"/>
        <v>4597560</v>
      </c>
      <c r="Q19" s="81">
        <f t="shared" si="4"/>
        <v>12051150</v>
      </c>
      <c r="R19" s="82">
        <f t="shared" si="5"/>
        <v>0.36643527499042416</v>
      </c>
      <c r="S19" s="83" t="s">
        <v>29</v>
      </c>
      <c r="T19" s="83" t="s">
        <v>29</v>
      </c>
      <c r="U19" s="83" t="s">
        <v>29</v>
      </c>
      <c r="V19" s="83" t="s">
        <v>29</v>
      </c>
      <c r="W19" s="83" t="s">
        <v>29</v>
      </c>
      <c r="X19" s="83" t="s">
        <v>29</v>
      </c>
      <c r="Y19" s="83" t="s">
        <v>29</v>
      </c>
      <c r="Z19" s="83" t="s">
        <v>29</v>
      </c>
      <c r="AA19" s="83" t="s">
        <v>29</v>
      </c>
      <c r="AB19" s="83" t="s">
        <v>29</v>
      </c>
      <c r="AC19" s="83" t="s">
        <v>29</v>
      </c>
      <c r="AD19" s="83" t="s">
        <v>29</v>
      </c>
      <c r="AE19" s="83" t="s">
        <v>29</v>
      </c>
      <c r="AF19" s="83" t="s">
        <v>29</v>
      </c>
      <c r="AG19" s="83" t="s">
        <v>29</v>
      </c>
      <c r="AH19" s="83" t="s">
        <v>29</v>
      </c>
      <c r="AI19" s="83" t="s">
        <v>29</v>
      </c>
      <c r="AJ19" s="83" t="s">
        <v>29</v>
      </c>
      <c r="AK19" s="83" t="s">
        <v>29</v>
      </c>
      <c r="AL19" s="83" t="s">
        <v>29</v>
      </c>
      <c r="AM19" s="83" t="s">
        <v>29</v>
      </c>
      <c r="AN19" s="83" t="s">
        <v>29</v>
      </c>
      <c r="AO19" s="83" t="s">
        <v>29</v>
      </c>
      <c r="AP19" s="83" t="s">
        <v>29</v>
      </c>
      <c r="AQ19" s="83" t="s">
        <v>29</v>
      </c>
      <c r="AR19" s="83" t="s">
        <v>29</v>
      </c>
      <c r="AS19" s="83" t="s">
        <v>29</v>
      </c>
      <c r="AT19" s="83">
        <f>ROUND($O19*(1+inflation)^AT$8,0)</f>
        <v>3879677</v>
      </c>
      <c r="AU19" s="83">
        <f>ROUND($O19*(1+inflation)^AU$8,0)</f>
        <v>4015466</v>
      </c>
      <c r="AV19" s="83">
        <f>ROUND($O19*(1+inflation)^AV$8,0)</f>
        <v>4156007</v>
      </c>
      <c r="AW19" s="83" t="s">
        <v>29</v>
      </c>
    </row>
    <row r="20" spans="1:49" s="77" customFormat="1" ht="30" customHeight="1" x14ac:dyDescent="0.25">
      <c r="A20" s="77">
        <v>2</v>
      </c>
      <c r="B20" s="77">
        <v>5</v>
      </c>
      <c r="C20" s="77">
        <v>3</v>
      </c>
      <c r="D20" s="77">
        <v>40</v>
      </c>
      <c r="E20" s="74">
        <v>4.0529999999999999</v>
      </c>
      <c r="F20" s="75">
        <v>86045</v>
      </c>
      <c r="G20" s="76">
        <v>28681.670000000002</v>
      </c>
      <c r="H20" s="77" t="s">
        <v>66</v>
      </c>
      <c r="I20" s="77" t="s">
        <v>80</v>
      </c>
      <c r="J20" s="78">
        <f t="shared" si="0"/>
        <v>2052</v>
      </c>
      <c r="K20" s="78" t="s">
        <v>76</v>
      </c>
      <c r="L20" s="78" t="str">
        <f t="shared" si="1"/>
        <v>30 to 30+</v>
      </c>
      <c r="M20" s="79">
        <v>36</v>
      </c>
      <c r="N20" s="80">
        <v>1</v>
      </c>
      <c r="O20" s="81">
        <f t="shared" si="2"/>
        <v>1032540.1200000001</v>
      </c>
      <c r="P20" s="81">
        <f t="shared" si="3"/>
        <v>3097620</v>
      </c>
      <c r="Q20" s="81">
        <f t="shared" si="4"/>
        <v>2898127</v>
      </c>
      <c r="R20" s="82">
        <f t="shared" si="5"/>
        <v>8.8122375391740462E-2</v>
      </c>
      <c r="S20" s="83" t="s">
        <v>29</v>
      </c>
      <c r="T20" s="83" t="s">
        <v>29</v>
      </c>
      <c r="U20" s="83" t="s">
        <v>29</v>
      </c>
      <c r="V20" s="83" t="s">
        <v>29</v>
      </c>
      <c r="W20" s="83" t="s">
        <v>29</v>
      </c>
      <c r="X20" s="83" t="s">
        <v>29</v>
      </c>
      <c r="Y20" s="83" t="s">
        <v>29</v>
      </c>
      <c r="Z20" s="83" t="s">
        <v>29</v>
      </c>
      <c r="AA20" s="83" t="s">
        <v>29</v>
      </c>
      <c r="AB20" s="83" t="s">
        <v>29</v>
      </c>
      <c r="AC20" s="83" t="s">
        <v>29</v>
      </c>
      <c r="AD20" s="83" t="s">
        <v>29</v>
      </c>
      <c r="AE20" s="83" t="s">
        <v>29</v>
      </c>
      <c r="AF20" s="83" t="s">
        <v>29</v>
      </c>
      <c r="AG20" s="83" t="s">
        <v>29</v>
      </c>
      <c r="AH20" s="83" t="s">
        <v>29</v>
      </c>
      <c r="AI20" s="83" t="s">
        <v>29</v>
      </c>
      <c r="AJ20" s="83" t="s">
        <v>29</v>
      </c>
      <c r="AK20" s="83" t="s">
        <v>29</v>
      </c>
      <c r="AL20" s="83" t="s">
        <v>29</v>
      </c>
      <c r="AM20" s="83" t="s">
        <v>29</v>
      </c>
      <c r="AN20" s="83" t="s">
        <v>29</v>
      </c>
      <c r="AO20" s="83" t="s">
        <v>29</v>
      </c>
      <c r="AP20" s="83" t="s">
        <v>29</v>
      </c>
      <c r="AQ20" s="83" t="s">
        <v>29</v>
      </c>
      <c r="AR20" s="83" t="s">
        <v>29</v>
      </c>
      <c r="AS20" s="83" t="s">
        <v>29</v>
      </c>
      <c r="AT20" s="83" t="s">
        <v>29</v>
      </c>
      <c r="AU20" s="83" t="s">
        <v>29</v>
      </c>
      <c r="AV20" s="83" t="s">
        <v>29</v>
      </c>
      <c r="AW20" s="83">
        <f>ROUND($O20*(1+inflation)^AW$8,0)</f>
        <v>2898127</v>
      </c>
    </row>
    <row r="21" spans="1:49" s="77" customFormat="1" ht="30" customHeight="1" x14ac:dyDescent="0.25">
      <c r="A21" s="77">
        <v>3</v>
      </c>
      <c r="B21" s="77">
        <v>10</v>
      </c>
      <c r="C21" s="77">
        <v>4</v>
      </c>
      <c r="D21" s="77">
        <v>40</v>
      </c>
      <c r="E21" s="74">
        <v>4.3</v>
      </c>
      <c r="F21" s="75">
        <v>7100</v>
      </c>
      <c r="G21" s="76">
        <v>1775</v>
      </c>
      <c r="H21" s="77" t="s">
        <v>81</v>
      </c>
      <c r="I21" s="77" t="s">
        <v>82</v>
      </c>
      <c r="J21" s="78">
        <f t="shared" si="0"/>
        <v>2035</v>
      </c>
      <c r="K21" s="78" t="s">
        <v>83</v>
      </c>
      <c r="L21" s="78" t="str">
        <f t="shared" si="1"/>
        <v>13 to 22</v>
      </c>
      <c r="M21" s="79">
        <v>65</v>
      </c>
      <c r="N21" s="80">
        <v>1</v>
      </c>
      <c r="O21" s="81">
        <f t="shared" si="2"/>
        <v>115375</v>
      </c>
      <c r="P21" s="81">
        <f t="shared" si="3"/>
        <v>461500</v>
      </c>
      <c r="Q21" s="81">
        <f t="shared" si="4"/>
        <v>848232</v>
      </c>
      <c r="R21" s="82">
        <f t="shared" si="5"/>
        <v>2.5791905849290524E-2</v>
      </c>
      <c r="S21" s="83" t="s">
        <v>29</v>
      </c>
      <c r="T21" s="83" t="s">
        <v>29</v>
      </c>
      <c r="U21" s="83" t="s">
        <v>29</v>
      </c>
      <c r="V21" s="83" t="s">
        <v>29</v>
      </c>
      <c r="W21" s="83" t="s">
        <v>29</v>
      </c>
      <c r="X21" s="83" t="s">
        <v>29</v>
      </c>
      <c r="Y21" s="83" t="s">
        <v>29</v>
      </c>
      <c r="Z21" s="83" t="s">
        <v>29</v>
      </c>
      <c r="AA21" s="83" t="s">
        <v>29</v>
      </c>
      <c r="AB21" s="83" t="s">
        <v>29</v>
      </c>
      <c r="AC21" s="83" t="s">
        <v>29</v>
      </c>
      <c r="AD21" s="83" t="s">
        <v>29</v>
      </c>
      <c r="AE21" s="83" t="s">
        <v>29</v>
      </c>
      <c r="AF21" s="83">
        <f>ROUND($O21*(1+inflation)^AF$8,0)</f>
        <v>180441</v>
      </c>
      <c r="AG21" s="83" t="s">
        <v>29</v>
      </c>
      <c r="AH21" s="83" t="s">
        <v>29</v>
      </c>
      <c r="AI21" s="83">
        <f>ROUND($O21*(1+inflation)^AI$8,0)</f>
        <v>200059</v>
      </c>
      <c r="AJ21" s="83" t="s">
        <v>29</v>
      </c>
      <c r="AK21" s="83" t="s">
        <v>29</v>
      </c>
      <c r="AL21" s="83">
        <f>ROUND($O21*(1+inflation)^AL$8,0)</f>
        <v>221809</v>
      </c>
      <c r="AM21" s="83" t="s">
        <v>29</v>
      </c>
      <c r="AN21" s="83" t="s">
        <v>29</v>
      </c>
      <c r="AO21" s="83">
        <f>ROUND($O21*(1+inflation)^AO$8,0)</f>
        <v>245923</v>
      </c>
      <c r="AP21" s="83" t="s">
        <v>29</v>
      </c>
      <c r="AQ21" s="83" t="s">
        <v>29</v>
      </c>
      <c r="AR21" s="83" t="s">
        <v>29</v>
      </c>
      <c r="AS21" s="83" t="s">
        <v>29</v>
      </c>
      <c r="AT21" s="83" t="s">
        <v>29</v>
      </c>
      <c r="AU21" s="83" t="s">
        <v>29</v>
      </c>
      <c r="AV21" s="83" t="s">
        <v>29</v>
      </c>
      <c r="AW21" s="83" t="s">
        <v>29</v>
      </c>
    </row>
    <row r="22" spans="1:49" s="85" customFormat="1" ht="30" customHeight="1" x14ac:dyDescent="0.25">
      <c r="A22" s="85">
        <v>1</v>
      </c>
      <c r="B22" s="85">
        <v>1</v>
      </c>
      <c r="C22" s="85">
        <v>1</v>
      </c>
      <c r="D22" s="85">
        <v>12</v>
      </c>
      <c r="E22" s="86">
        <v>4.72</v>
      </c>
      <c r="F22" s="87">
        <v>15000</v>
      </c>
      <c r="G22" s="88">
        <v>15000</v>
      </c>
      <c r="H22" s="85" t="s">
        <v>84</v>
      </c>
      <c r="I22" s="85" t="s">
        <v>85</v>
      </c>
      <c r="J22" s="90">
        <f t="shared" si="0"/>
        <v>2033</v>
      </c>
      <c r="K22" s="90" t="s">
        <v>69</v>
      </c>
      <c r="L22" s="90" t="str">
        <f t="shared" si="1"/>
        <v>11</v>
      </c>
      <c r="M22" s="91">
        <v>5.5</v>
      </c>
      <c r="N22" s="92">
        <v>1</v>
      </c>
      <c r="O22" s="93">
        <f t="shared" si="2"/>
        <v>82500</v>
      </c>
      <c r="P22" s="93">
        <f t="shared" si="3"/>
        <v>82500</v>
      </c>
      <c r="Q22" s="93">
        <f t="shared" si="4"/>
        <v>302452</v>
      </c>
      <c r="R22" s="94">
        <f t="shared" si="5"/>
        <v>9.1965564938950861E-3</v>
      </c>
      <c r="S22" s="95" t="s">
        <v>29</v>
      </c>
      <c r="T22" s="95" t="s">
        <v>29</v>
      </c>
      <c r="U22" s="95" t="s">
        <v>29</v>
      </c>
      <c r="V22" s="95" t="s">
        <v>29</v>
      </c>
      <c r="W22" s="95" t="s">
        <v>29</v>
      </c>
      <c r="X22" s="95" t="s">
        <v>29</v>
      </c>
      <c r="Y22" s="95" t="s">
        <v>29</v>
      </c>
      <c r="Z22" s="95" t="s">
        <v>29</v>
      </c>
      <c r="AA22" s="95" t="s">
        <v>29</v>
      </c>
      <c r="AB22" s="95" t="s">
        <v>29</v>
      </c>
      <c r="AC22" s="95" t="s">
        <v>29</v>
      </c>
      <c r="AD22" s="95">
        <f>ROUND($O22*(1+inflation)^AD$8,0)</f>
        <v>120448</v>
      </c>
      <c r="AE22" s="95" t="s">
        <v>29</v>
      </c>
      <c r="AF22" s="95" t="s">
        <v>29</v>
      </c>
      <c r="AG22" s="95" t="s">
        <v>29</v>
      </c>
      <c r="AH22" s="95" t="s">
        <v>29</v>
      </c>
      <c r="AI22" s="95" t="s">
        <v>29</v>
      </c>
      <c r="AJ22" s="95" t="s">
        <v>29</v>
      </c>
      <c r="AK22" s="95" t="s">
        <v>29</v>
      </c>
      <c r="AL22" s="95" t="s">
        <v>29</v>
      </c>
      <c r="AM22" s="95" t="s">
        <v>29</v>
      </c>
      <c r="AN22" s="95" t="s">
        <v>29</v>
      </c>
      <c r="AO22" s="95" t="s">
        <v>29</v>
      </c>
      <c r="AP22" s="95">
        <f>ROUND($O22*(1+inflation)^AP$8,0)</f>
        <v>182004</v>
      </c>
      <c r="AQ22" s="95" t="s">
        <v>29</v>
      </c>
      <c r="AR22" s="95" t="s">
        <v>29</v>
      </c>
      <c r="AS22" s="95" t="s">
        <v>29</v>
      </c>
      <c r="AT22" s="95" t="s">
        <v>29</v>
      </c>
      <c r="AU22" s="95" t="s">
        <v>29</v>
      </c>
      <c r="AV22" s="95" t="s">
        <v>29</v>
      </c>
      <c r="AW22" s="95" t="s">
        <v>29</v>
      </c>
    </row>
    <row r="23" spans="1:49" s="85" customFormat="1" ht="30" customHeight="1" x14ac:dyDescent="0.25">
      <c r="A23" s="85">
        <v>1</v>
      </c>
      <c r="B23" s="85">
        <v>1</v>
      </c>
      <c r="C23" s="85">
        <v>1</v>
      </c>
      <c r="D23" s="85">
        <v>12</v>
      </c>
      <c r="E23" s="86">
        <v>4.74</v>
      </c>
      <c r="F23" s="87">
        <v>2250</v>
      </c>
      <c r="G23" s="88">
        <v>2250</v>
      </c>
      <c r="H23" s="85" t="s">
        <v>84</v>
      </c>
      <c r="I23" s="85" t="s">
        <v>86</v>
      </c>
      <c r="J23" s="90">
        <f t="shared" si="0"/>
        <v>2025</v>
      </c>
      <c r="K23" s="90" t="s">
        <v>69</v>
      </c>
      <c r="L23" s="90" t="str">
        <f t="shared" si="1"/>
        <v>3</v>
      </c>
      <c r="M23" s="91">
        <v>12</v>
      </c>
      <c r="N23" s="92">
        <v>1</v>
      </c>
      <c r="O23" s="93">
        <f t="shared" si="2"/>
        <v>27000</v>
      </c>
      <c r="P23" s="93">
        <f t="shared" si="3"/>
        <v>27000</v>
      </c>
      <c r="Q23" s="93">
        <f t="shared" si="4"/>
        <v>75169</v>
      </c>
      <c r="R23" s="94">
        <f t="shared" si="5"/>
        <v>2.2856385644320415E-3</v>
      </c>
      <c r="S23" s="95" t="s">
        <v>29</v>
      </c>
      <c r="T23" s="95" t="s">
        <v>29</v>
      </c>
      <c r="U23" s="95" t="s">
        <v>29</v>
      </c>
      <c r="V23" s="95">
        <f>ROUND($O23*(1+inflation)^V$8,0)</f>
        <v>29935</v>
      </c>
      <c r="W23" s="95" t="s">
        <v>29</v>
      </c>
      <c r="X23" s="95" t="s">
        <v>29</v>
      </c>
      <c r="Y23" s="95" t="s">
        <v>29</v>
      </c>
      <c r="Z23" s="95" t="s">
        <v>29</v>
      </c>
      <c r="AA23" s="95" t="s">
        <v>29</v>
      </c>
      <c r="AB23" s="95" t="s">
        <v>29</v>
      </c>
      <c r="AC23" s="95" t="s">
        <v>29</v>
      </c>
      <c r="AD23" s="95" t="s">
        <v>29</v>
      </c>
      <c r="AE23" s="95" t="s">
        <v>29</v>
      </c>
      <c r="AF23" s="95" t="s">
        <v>29</v>
      </c>
      <c r="AG23" s="95" t="s">
        <v>29</v>
      </c>
      <c r="AH23" s="95">
        <f>ROUND($O23*(1+inflation)^AH$8,0)</f>
        <v>45234</v>
      </c>
      <c r="AI23" s="95" t="s">
        <v>29</v>
      </c>
      <c r="AJ23" s="95" t="s">
        <v>29</v>
      </c>
      <c r="AK23" s="95" t="s">
        <v>29</v>
      </c>
      <c r="AL23" s="95" t="s">
        <v>29</v>
      </c>
      <c r="AM23" s="95" t="s">
        <v>29</v>
      </c>
      <c r="AN23" s="95" t="s">
        <v>29</v>
      </c>
      <c r="AO23" s="95" t="s">
        <v>29</v>
      </c>
      <c r="AP23" s="95" t="s">
        <v>29</v>
      </c>
      <c r="AQ23" s="95" t="s">
        <v>29</v>
      </c>
      <c r="AR23" s="95" t="s">
        <v>29</v>
      </c>
      <c r="AS23" s="95" t="s">
        <v>29</v>
      </c>
      <c r="AT23" s="95"/>
      <c r="AU23" s="95" t="s">
        <v>29</v>
      </c>
      <c r="AV23" s="95" t="s">
        <v>29</v>
      </c>
      <c r="AW23" s="95" t="s">
        <v>29</v>
      </c>
    </row>
    <row r="24" spans="1:49" s="85" customFormat="1" ht="30" customHeight="1" x14ac:dyDescent="0.25">
      <c r="A24" s="85">
        <v>1</v>
      </c>
      <c r="B24" s="85">
        <v>1</v>
      </c>
      <c r="C24" s="85">
        <v>1</v>
      </c>
      <c r="D24" s="85">
        <v>40</v>
      </c>
      <c r="E24" s="86">
        <v>4.7450000000000001</v>
      </c>
      <c r="F24" s="87">
        <v>2250</v>
      </c>
      <c r="G24" s="88">
        <v>2250</v>
      </c>
      <c r="H24" s="85" t="s">
        <v>84</v>
      </c>
      <c r="I24" s="85" t="s">
        <v>87</v>
      </c>
      <c r="J24" s="90">
        <f t="shared" si="0"/>
        <v>2044</v>
      </c>
      <c r="K24" s="90" t="s">
        <v>88</v>
      </c>
      <c r="L24" s="90" t="str">
        <f t="shared" si="1"/>
        <v>22</v>
      </c>
      <c r="M24" s="91">
        <v>220</v>
      </c>
      <c r="N24" s="92">
        <v>1</v>
      </c>
      <c r="O24" s="93">
        <f t="shared" si="2"/>
        <v>495000</v>
      </c>
      <c r="P24" s="93">
        <f t="shared" si="3"/>
        <v>495000</v>
      </c>
      <c r="Q24" s="93">
        <f t="shared" si="4"/>
        <v>1055098</v>
      </c>
      <c r="R24" s="94">
        <f t="shared" si="5"/>
        <v>3.208201090948553E-2</v>
      </c>
      <c r="S24" s="95" t="s">
        <v>29</v>
      </c>
      <c r="T24" s="95" t="s">
        <v>29</v>
      </c>
      <c r="U24" s="95" t="s">
        <v>29</v>
      </c>
      <c r="V24" s="95" t="s">
        <v>29</v>
      </c>
      <c r="W24" s="95" t="s">
        <v>29</v>
      </c>
      <c r="X24" s="95" t="s">
        <v>29</v>
      </c>
      <c r="Y24" s="95" t="s">
        <v>29</v>
      </c>
      <c r="Z24" s="95" t="s">
        <v>29</v>
      </c>
      <c r="AA24" s="95" t="s">
        <v>29</v>
      </c>
      <c r="AB24" s="95" t="s">
        <v>29</v>
      </c>
      <c r="AC24" s="95" t="s">
        <v>29</v>
      </c>
      <c r="AD24" s="95" t="s">
        <v>29</v>
      </c>
      <c r="AE24" s="95" t="s">
        <v>29</v>
      </c>
      <c r="AF24" s="95" t="s">
        <v>29</v>
      </c>
      <c r="AG24" s="95" t="s">
        <v>29</v>
      </c>
      <c r="AH24" s="95" t="s">
        <v>29</v>
      </c>
      <c r="AI24" s="95" t="s">
        <v>29</v>
      </c>
      <c r="AJ24" s="95" t="s">
        <v>29</v>
      </c>
      <c r="AK24" s="95" t="s">
        <v>29</v>
      </c>
      <c r="AL24" s="95" t="s">
        <v>29</v>
      </c>
      <c r="AM24" s="95" t="s">
        <v>29</v>
      </c>
      <c r="AN24" s="95" t="s">
        <v>29</v>
      </c>
      <c r="AO24" s="95">
        <f>ROUND($O24*(1+inflation)^AO$8,0)</f>
        <v>1055098</v>
      </c>
      <c r="AP24" s="95" t="s">
        <v>29</v>
      </c>
      <c r="AQ24" s="95" t="s">
        <v>29</v>
      </c>
      <c r="AR24" s="95" t="s">
        <v>29</v>
      </c>
      <c r="AS24" s="95" t="s">
        <v>29</v>
      </c>
      <c r="AT24" s="95" t="s">
        <v>29</v>
      </c>
      <c r="AU24" s="95" t="s">
        <v>29</v>
      </c>
      <c r="AV24" s="95" t="s">
        <v>29</v>
      </c>
      <c r="AW24" s="95" t="s">
        <v>29</v>
      </c>
    </row>
    <row r="25" spans="1:49" s="77" customFormat="1" ht="30" customHeight="1" x14ac:dyDescent="0.25">
      <c r="A25" s="77">
        <v>1</v>
      </c>
      <c r="B25" s="77">
        <v>1</v>
      </c>
      <c r="C25" s="77">
        <v>1</v>
      </c>
      <c r="D25" s="77">
        <v>15</v>
      </c>
      <c r="E25" s="74">
        <v>4.8</v>
      </c>
      <c r="F25" s="75">
        <v>21</v>
      </c>
      <c r="G25" s="76">
        <v>21</v>
      </c>
      <c r="H25" s="77" t="s">
        <v>89</v>
      </c>
      <c r="I25" s="77" t="s">
        <v>90</v>
      </c>
      <c r="J25" s="78">
        <f t="shared" si="0"/>
        <v>2032</v>
      </c>
      <c r="K25" s="78" t="s">
        <v>91</v>
      </c>
      <c r="L25" s="78" t="str">
        <f t="shared" si="1"/>
        <v>10</v>
      </c>
      <c r="M25" s="79">
        <v>5000</v>
      </c>
      <c r="N25" s="80">
        <v>1</v>
      </c>
      <c r="O25" s="81">
        <f t="shared" si="2"/>
        <v>105000</v>
      </c>
      <c r="P25" s="81">
        <f t="shared" si="3"/>
        <v>105000</v>
      </c>
      <c r="Q25" s="81">
        <f t="shared" si="4"/>
        <v>396254</v>
      </c>
      <c r="R25" s="82">
        <f t="shared" si="5"/>
        <v>1.2048762438112176E-2</v>
      </c>
      <c r="S25" s="83" t="s">
        <v>29</v>
      </c>
      <c r="T25" s="83" t="s">
        <v>29</v>
      </c>
      <c r="U25" s="83" t="s">
        <v>29</v>
      </c>
      <c r="V25" s="83" t="s">
        <v>29</v>
      </c>
      <c r="W25" s="83" t="s">
        <v>29</v>
      </c>
      <c r="X25" s="83" t="s">
        <v>29</v>
      </c>
      <c r="Y25" s="83" t="s">
        <v>29</v>
      </c>
      <c r="Z25" s="83" t="s">
        <v>29</v>
      </c>
      <c r="AA25" s="83" t="s">
        <v>29</v>
      </c>
      <c r="AB25" s="83" t="s">
        <v>29</v>
      </c>
      <c r="AC25" s="83">
        <f>ROUND($O25*(1+inflation)^AC$8,0)</f>
        <v>148113</v>
      </c>
      <c r="AD25" s="83" t="s">
        <v>29</v>
      </c>
      <c r="AE25" s="83" t="s">
        <v>29</v>
      </c>
      <c r="AF25" s="83" t="s">
        <v>29</v>
      </c>
      <c r="AG25" s="83" t="s">
        <v>29</v>
      </c>
      <c r="AH25" s="83" t="s">
        <v>29</v>
      </c>
      <c r="AI25" s="83" t="s">
        <v>29</v>
      </c>
      <c r="AJ25" s="83" t="s">
        <v>29</v>
      </c>
      <c r="AK25" s="83" t="s">
        <v>29</v>
      </c>
      <c r="AL25" s="83" t="s">
        <v>29</v>
      </c>
      <c r="AM25" s="83" t="s">
        <v>29</v>
      </c>
      <c r="AN25" s="83" t="s">
        <v>29</v>
      </c>
      <c r="AO25" s="83" t="s">
        <v>29</v>
      </c>
      <c r="AP25" s="83" t="s">
        <v>29</v>
      </c>
      <c r="AQ25" s="83" t="s">
        <v>29</v>
      </c>
      <c r="AR25" s="83">
        <f>ROUND($O25*(1+inflation)^AR$8,0)</f>
        <v>248141</v>
      </c>
      <c r="AS25" s="83" t="s">
        <v>29</v>
      </c>
      <c r="AT25" s="83" t="s">
        <v>29</v>
      </c>
      <c r="AU25" s="83" t="s">
        <v>29</v>
      </c>
      <c r="AV25" s="83" t="s">
        <v>29</v>
      </c>
      <c r="AW25" s="83" t="s">
        <v>29</v>
      </c>
    </row>
    <row r="26" spans="1:49" s="77" customFormat="1" ht="30" customHeight="1" x14ac:dyDescent="0.25">
      <c r="A26" s="77">
        <v>1</v>
      </c>
      <c r="B26" s="77">
        <v>1</v>
      </c>
      <c r="C26" s="77">
        <v>1</v>
      </c>
      <c r="D26" s="77">
        <v>30</v>
      </c>
      <c r="E26" s="74">
        <v>4.8099999999999996</v>
      </c>
      <c r="F26" s="75">
        <v>60</v>
      </c>
      <c r="G26" s="76">
        <v>60</v>
      </c>
      <c r="H26" s="77" t="s">
        <v>89</v>
      </c>
      <c r="I26" s="77" t="s">
        <v>92</v>
      </c>
      <c r="J26" s="78">
        <f t="shared" si="0"/>
        <v>2027</v>
      </c>
      <c r="K26" s="78" t="s">
        <v>74</v>
      </c>
      <c r="L26" s="78" t="str">
        <f t="shared" si="1"/>
        <v>5</v>
      </c>
      <c r="M26" s="79">
        <v>3000</v>
      </c>
      <c r="N26" s="80">
        <v>1</v>
      </c>
      <c r="O26" s="81">
        <f t="shared" si="2"/>
        <v>180000</v>
      </c>
      <c r="P26" s="81">
        <f t="shared" si="3"/>
        <v>180000</v>
      </c>
      <c r="Q26" s="81">
        <f t="shared" si="4"/>
        <v>213784</v>
      </c>
      <c r="R26" s="82">
        <f t="shared" si="5"/>
        <v>6.5004583652641321E-3</v>
      </c>
      <c r="S26" s="83" t="s">
        <v>29</v>
      </c>
      <c r="T26" s="83" t="s">
        <v>29</v>
      </c>
      <c r="U26" s="83" t="s">
        <v>29</v>
      </c>
      <c r="V26" s="83" t="s">
        <v>29</v>
      </c>
      <c r="W26" s="83" t="s">
        <v>29</v>
      </c>
      <c r="X26" s="83">
        <f>ROUND($O26*(1+inflation)^X$8,0)</f>
        <v>213784</v>
      </c>
      <c r="Y26" s="83" t="s">
        <v>29</v>
      </c>
      <c r="Z26" s="83" t="s">
        <v>29</v>
      </c>
      <c r="AA26" s="83" t="s">
        <v>29</v>
      </c>
      <c r="AB26" s="83" t="s">
        <v>29</v>
      </c>
      <c r="AC26" s="83" t="s">
        <v>29</v>
      </c>
      <c r="AD26" s="83" t="s">
        <v>29</v>
      </c>
      <c r="AE26" s="83" t="s">
        <v>29</v>
      </c>
      <c r="AF26" s="83" t="s">
        <v>29</v>
      </c>
      <c r="AG26" s="83" t="s">
        <v>29</v>
      </c>
      <c r="AH26" s="83" t="s">
        <v>29</v>
      </c>
      <c r="AI26" s="83" t="s">
        <v>29</v>
      </c>
      <c r="AJ26" s="83" t="s">
        <v>29</v>
      </c>
      <c r="AK26" s="83" t="s">
        <v>29</v>
      </c>
      <c r="AL26" s="83" t="s">
        <v>29</v>
      </c>
      <c r="AM26" s="83" t="s">
        <v>29</v>
      </c>
      <c r="AN26" s="83" t="s">
        <v>29</v>
      </c>
      <c r="AO26" s="83" t="s">
        <v>29</v>
      </c>
      <c r="AP26" s="83" t="s">
        <v>29</v>
      </c>
      <c r="AQ26" s="83" t="s">
        <v>29</v>
      </c>
      <c r="AR26" s="83" t="s">
        <v>29</v>
      </c>
      <c r="AS26" s="83" t="s">
        <v>29</v>
      </c>
      <c r="AT26" s="83" t="s">
        <v>29</v>
      </c>
      <c r="AU26" s="83" t="s">
        <v>29</v>
      </c>
      <c r="AV26" s="83" t="s">
        <v>29</v>
      </c>
      <c r="AW26" s="83" t="s">
        <v>29</v>
      </c>
    </row>
    <row r="27" spans="1:49" s="77" customFormat="1" ht="30" customHeight="1" x14ac:dyDescent="0.25">
      <c r="A27" s="77">
        <v>1</v>
      </c>
      <c r="B27" s="77">
        <v>1</v>
      </c>
      <c r="C27" s="77">
        <v>1</v>
      </c>
      <c r="D27" s="77">
        <v>5</v>
      </c>
      <c r="E27" s="74">
        <v>4.96</v>
      </c>
      <c r="F27" s="75">
        <v>1</v>
      </c>
      <c r="G27" s="76">
        <v>1</v>
      </c>
      <c r="H27" s="77" t="s">
        <v>93</v>
      </c>
      <c r="I27" s="77" t="s">
        <v>94</v>
      </c>
      <c r="J27" s="78">
        <f t="shared" si="0"/>
        <v>2026</v>
      </c>
      <c r="K27" s="78" t="s">
        <v>95</v>
      </c>
      <c r="L27" s="78" t="str">
        <f t="shared" si="1"/>
        <v>4</v>
      </c>
      <c r="M27" s="79">
        <v>30000</v>
      </c>
      <c r="N27" s="80">
        <v>1</v>
      </c>
      <c r="O27" s="81">
        <f t="shared" si="2"/>
        <v>30000</v>
      </c>
      <c r="P27" s="81">
        <f t="shared" si="3"/>
        <v>30000</v>
      </c>
      <c r="Q27" s="81">
        <f t="shared" si="4"/>
        <v>331405</v>
      </c>
      <c r="R27" s="82">
        <f t="shared" si="5"/>
        <v>1.007692065140684E-2</v>
      </c>
      <c r="S27" s="83" t="s">
        <v>29</v>
      </c>
      <c r="T27" s="83" t="s">
        <v>29</v>
      </c>
      <c r="U27" s="83" t="s">
        <v>29</v>
      </c>
      <c r="V27" s="83" t="s">
        <v>29</v>
      </c>
      <c r="W27" s="83">
        <f>ROUND($O27*(1+inflation)^W$8,0)</f>
        <v>34426</v>
      </c>
      <c r="X27" s="83" t="s">
        <v>29</v>
      </c>
      <c r="Y27" s="83" t="s">
        <v>29</v>
      </c>
      <c r="Z27" s="83" t="s">
        <v>29</v>
      </c>
      <c r="AA27" s="83" t="s">
        <v>29</v>
      </c>
      <c r="AB27" s="83">
        <f>ROUND($O27*(1+inflation)^AB$8,0)</f>
        <v>40887</v>
      </c>
      <c r="AC27" s="83" t="s">
        <v>29</v>
      </c>
      <c r="AD27" s="83" t="s">
        <v>29</v>
      </c>
      <c r="AE27" s="83" t="s">
        <v>29</v>
      </c>
      <c r="AF27" s="83" t="s">
        <v>29</v>
      </c>
      <c r="AG27" s="83">
        <f>ROUND($O27*(1+inflation)^AG$8,0)</f>
        <v>48561</v>
      </c>
      <c r="AH27" s="83" t="s">
        <v>29</v>
      </c>
      <c r="AI27" s="83" t="s">
        <v>29</v>
      </c>
      <c r="AJ27" s="83" t="s">
        <v>29</v>
      </c>
      <c r="AK27" s="83" t="s">
        <v>29</v>
      </c>
      <c r="AL27" s="83">
        <f>ROUND($O27*(1+inflation)^AL$8,0)</f>
        <v>57675</v>
      </c>
      <c r="AM27" s="83" t="s">
        <v>29</v>
      </c>
      <c r="AN27" s="83" t="s">
        <v>29</v>
      </c>
      <c r="AO27" s="83" t="s">
        <v>29</v>
      </c>
      <c r="AP27" s="83" t="s">
        <v>29</v>
      </c>
      <c r="AQ27" s="83">
        <f>ROUND($O27*(1+inflation)^AQ$8,0)</f>
        <v>68500</v>
      </c>
      <c r="AR27" s="83" t="s">
        <v>29</v>
      </c>
      <c r="AS27" s="83" t="s">
        <v>29</v>
      </c>
      <c r="AT27" s="83" t="s">
        <v>29</v>
      </c>
      <c r="AU27" s="83" t="s">
        <v>29</v>
      </c>
      <c r="AV27" s="83">
        <f>ROUND($O27*(1+inflation)^AV$8,0)</f>
        <v>81356</v>
      </c>
      <c r="AW27" s="83" t="s">
        <v>29</v>
      </c>
    </row>
    <row r="28" spans="1:49" s="85" customFormat="1" ht="8.1" customHeight="1" x14ac:dyDescent="0.25">
      <c r="E28" s="96" t="s">
        <v>96</v>
      </c>
      <c r="F28" s="97"/>
      <c r="G28" s="97"/>
      <c r="H28" s="97"/>
      <c r="I28" s="98" t="s">
        <v>64</v>
      </c>
      <c r="J28" s="99" t="s">
        <v>64</v>
      </c>
      <c r="K28" s="100"/>
      <c r="L28" s="99" t="s">
        <v>64</v>
      </c>
      <c r="M28" s="99" t="s">
        <v>64</v>
      </c>
      <c r="N28" s="99" t="s">
        <v>64</v>
      </c>
      <c r="O28" s="99" t="s">
        <v>64</v>
      </c>
      <c r="P28" s="100"/>
      <c r="Q28" s="100" t="s">
        <v>64</v>
      </c>
      <c r="R28" s="101" t="s">
        <v>64</v>
      </c>
      <c r="S28" s="99" t="s">
        <v>64</v>
      </c>
      <c r="T28" s="99" t="s">
        <v>64</v>
      </c>
      <c r="U28" s="99" t="s">
        <v>64</v>
      </c>
      <c r="V28" s="99" t="s">
        <v>64</v>
      </c>
      <c r="W28" s="99" t="s">
        <v>64</v>
      </c>
      <c r="X28" s="99" t="s">
        <v>64</v>
      </c>
      <c r="Y28" s="99" t="s">
        <v>64</v>
      </c>
      <c r="Z28" s="99" t="s">
        <v>64</v>
      </c>
      <c r="AA28" s="99" t="s">
        <v>64</v>
      </c>
      <c r="AB28" s="99" t="s">
        <v>64</v>
      </c>
      <c r="AC28" s="99" t="s">
        <v>64</v>
      </c>
      <c r="AD28" s="99" t="s">
        <v>64</v>
      </c>
      <c r="AE28" s="99" t="s">
        <v>64</v>
      </c>
      <c r="AF28" s="99" t="s">
        <v>64</v>
      </c>
      <c r="AG28" s="99" t="s">
        <v>64</v>
      </c>
      <c r="AH28" s="99" t="s">
        <v>64</v>
      </c>
      <c r="AI28" s="99" t="s">
        <v>64</v>
      </c>
      <c r="AJ28" s="99" t="s">
        <v>64</v>
      </c>
      <c r="AK28" s="99" t="s">
        <v>64</v>
      </c>
      <c r="AL28" s="99" t="s">
        <v>64</v>
      </c>
      <c r="AM28" s="99" t="s">
        <v>64</v>
      </c>
      <c r="AN28" s="99" t="s">
        <v>64</v>
      </c>
      <c r="AO28" s="99" t="s">
        <v>64</v>
      </c>
      <c r="AP28" s="99" t="s">
        <v>64</v>
      </c>
      <c r="AQ28" s="99" t="s">
        <v>64</v>
      </c>
      <c r="AR28" s="99" t="s">
        <v>64</v>
      </c>
      <c r="AS28" s="99" t="s">
        <v>64</v>
      </c>
      <c r="AT28" s="99" t="s">
        <v>64</v>
      </c>
      <c r="AU28" s="99" t="s">
        <v>64</v>
      </c>
      <c r="AV28" s="99" t="s">
        <v>64</v>
      </c>
      <c r="AW28" s="99" t="s">
        <v>64</v>
      </c>
    </row>
    <row r="29" spans="1:49" s="85" customFormat="1" ht="30" customHeight="1" x14ac:dyDescent="0.25">
      <c r="E29" s="102"/>
      <c r="F29" s="103"/>
      <c r="G29" s="103"/>
      <c r="H29" s="103"/>
      <c r="I29" s="104" t="str">
        <f>"Anticipated Expenditures, By Year ("&amp;Currency_Symbol&amp;TEXT($Q$29,"#,##0")&amp;" over "&amp;Study_Length&amp;" years)"</f>
        <v>Anticipated Expenditures, By Year ($32,887,527 over 30 years)</v>
      </c>
      <c r="J29" s="105" t="s">
        <v>40</v>
      </c>
      <c r="K29" s="103"/>
      <c r="L29" s="103"/>
      <c r="M29" s="103"/>
      <c r="N29" s="103"/>
      <c r="O29" s="93" t="s">
        <v>40</v>
      </c>
      <c r="P29" s="103"/>
      <c r="Q29" s="106">
        <f>SUM(S29:AW29)</f>
        <v>32887527</v>
      </c>
      <c r="R29" s="107"/>
      <c r="S29" s="95">
        <f t="shared" ref="S29:AW29" si="6">SUM(S$10:S$28)</f>
        <v>0</v>
      </c>
      <c r="T29" s="95">
        <f t="shared" si="6"/>
        <v>175826</v>
      </c>
      <c r="U29" s="95">
        <f t="shared" si="6"/>
        <v>273612</v>
      </c>
      <c r="V29" s="95">
        <f t="shared" si="6"/>
        <v>313124</v>
      </c>
      <c r="W29" s="95">
        <f t="shared" si="6"/>
        <v>241898</v>
      </c>
      <c r="X29" s="95">
        <f t="shared" si="6"/>
        <v>1386898</v>
      </c>
      <c r="Y29" s="95">
        <f t="shared" si="6"/>
        <v>0</v>
      </c>
      <c r="Z29" s="95">
        <f t="shared" si="6"/>
        <v>1029058</v>
      </c>
      <c r="AA29" s="95">
        <f t="shared" si="6"/>
        <v>1288775</v>
      </c>
      <c r="AB29" s="95">
        <f t="shared" si="6"/>
        <v>1143239</v>
      </c>
      <c r="AC29" s="95">
        <f t="shared" si="6"/>
        <v>148113</v>
      </c>
      <c r="AD29" s="95">
        <f t="shared" si="6"/>
        <v>120448</v>
      </c>
      <c r="AE29" s="95">
        <f t="shared" si="6"/>
        <v>0</v>
      </c>
      <c r="AF29" s="95">
        <f t="shared" si="6"/>
        <v>1523566</v>
      </c>
      <c r="AG29" s="95">
        <f t="shared" si="6"/>
        <v>1438696</v>
      </c>
      <c r="AH29" s="95">
        <f t="shared" si="6"/>
        <v>329842</v>
      </c>
      <c r="AI29" s="95">
        <f t="shared" si="6"/>
        <v>642954</v>
      </c>
      <c r="AJ29" s="95">
        <f t="shared" si="6"/>
        <v>458396</v>
      </c>
      <c r="AK29" s="95">
        <f t="shared" si="6"/>
        <v>0</v>
      </c>
      <c r="AL29" s="95">
        <f t="shared" si="6"/>
        <v>3218835</v>
      </c>
      <c r="AM29" s="95">
        <f t="shared" si="6"/>
        <v>0</v>
      </c>
      <c r="AN29" s="95">
        <f t="shared" si="6"/>
        <v>0</v>
      </c>
      <c r="AO29" s="95">
        <f t="shared" si="6"/>
        <v>2048499</v>
      </c>
      <c r="AP29" s="95">
        <f t="shared" si="6"/>
        <v>580869</v>
      </c>
      <c r="AQ29" s="95">
        <f t="shared" si="6"/>
        <v>68500</v>
      </c>
      <c r="AR29" s="95">
        <f t="shared" si="6"/>
        <v>248141</v>
      </c>
      <c r="AS29" s="95">
        <f t="shared" si="6"/>
        <v>0</v>
      </c>
      <c r="AT29" s="95">
        <f t="shared" si="6"/>
        <v>3879677</v>
      </c>
      <c r="AU29" s="95">
        <f t="shared" si="6"/>
        <v>4015466</v>
      </c>
      <c r="AV29" s="95">
        <f t="shared" si="6"/>
        <v>4698057</v>
      </c>
      <c r="AW29" s="95">
        <f t="shared" si="6"/>
        <v>3615038</v>
      </c>
    </row>
  </sheetData>
  <pageMargins left="0.7" right="0.7" top="0.75" bottom="0.75" header="0.3" footer="0.3"/>
  <pageSetup scale="40" fitToWidth="3" fitToHeight="0" pageOrder="overThenDown" orientation="portrait" horizontalDpi="1200" verticalDpi="1200" r:id="rId1"/>
  <headerFooter>
    <oddHeader>&amp;RPage &amp;P of &amp;N</oddHeader>
    <oddFooter>&amp;R&amp;A - Page 3.3 &amp; 3.4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7"/>
  <sheetViews>
    <sheetView tabSelected="1" zoomScale="70" zoomScaleNormal="70" workbookViewId="0">
      <selection activeCell="G9" sqref="G9"/>
    </sheetView>
  </sheetViews>
  <sheetFormatPr defaultRowHeight="18" x14ac:dyDescent="0.25"/>
  <cols>
    <col min="1" max="1" width="5.6640625" customWidth="1"/>
    <col min="2" max="2" width="6.33203125" customWidth="1"/>
    <col min="3" max="3" width="34.77734375" customWidth="1"/>
    <col min="4" max="15" width="10.77734375" customWidth="1"/>
    <col min="16" max="16" width="11.88671875" customWidth="1"/>
    <col min="17" max="19" width="10.77734375" customWidth="1"/>
    <col min="20" max="20" width="11.77734375" customWidth="1"/>
  </cols>
  <sheetData>
    <row r="1" spans="1:20" ht="30" x14ac:dyDescent="0.4">
      <c r="A1" s="108"/>
      <c r="B1" s="108"/>
      <c r="C1" s="109" t="s">
        <v>102</v>
      </c>
      <c r="D1" s="110"/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30" x14ac:dyDescent="0.4">
      <c r="A2" s="108"/>
      <c r="B2" s="108"/>
      <c r="C2" s="8"/>
      <c r="D2" s="112"/>
      <c r="E2" s="113" t="s">
        <v>29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20.25" x14ac:dyDescent="0.3">
      <c r="A3" s="114"/>
      <c r="B3" s="114"/>
      <c r="C3" s="115" t="s">
        <v>103</v>
      </c>
      <c r="D3" s="116"/>
      <c r="E3" s="117" t="s">
        <v>29</v>
      </c>
      <c r="F3" s="29"/>
      <c r="G3" s="29"/>
      <c r="H3" s="29"/>
      <c r="I3" s="29"/>
      <c r="J3" s="29"/>
      <c r="K3" s="29">
        <f>J3*(1+Inflation)</f>
        <v>0</v>
      </c>
      <c r="L3" s="7"/>
      <c r="M3" s="29"/>
      <c r="N3" s="29"/>
      <c r="O3" s="43"/>
      <c r="P3" s="43"/>
      <c r="Q3" s="43"/>
      <c r="R3" s="43"/>
      <c r="S3" s="43"/>
      <c r="T3" s="43"/>
    </row>
    <row r="4" spans="1:20" ht="20.25" x14ac:dyDescent="0.25">
      <c r="A4" s="118"/>
      <c r="B4" s="118"/>
      <c r="C4" s="119" t="s">
        <v>33</v>
      </c>
      <c r="D4" s="120"/>
      <c r="E4" s="114"/>
      <c r="F4" s="7"/>
      <c r="G4" s="121"/>
      <c r="H4" s="121"/>
      <c r="I4" s="121"/>
      <c r="J4" s="121"/>
      <c r="K4" s="121" t="s">
        <v>131</v>
      </c>
      <c r="L4" s="7"/>
      <c r="M4" s="29"/>
      <c r="N4" s="29"/>
      <c r="O4" s="29"/>
      <c r="P4" s="29"/>
      <c r="Q4" s="29"/>
      <c r="R4" s="29"/>
      <c r="S4" s="29"/>
      <c r="T4" s="29"/>
    </row>
    <row r="5" spans="1:20" ht="20.25" x14ac:dyDescent="0.25">
      <c r="A5" s="118" t="s">
        <v>50</v>
      </c>
      <c r="B5" s="118"/>
      <c r="C5" s="119" t="s">
        <v>36</v>
      </c>
      <c r="D5" s="114"/>
      <c r="E5" s="114"/>
      <c r="F5" s="122" t="s">
        <v>104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21" thickBot="1" x14ac:dyDescent="0.35">
      <c r="A6" s="118"/>
      <c r="B6" s="118"/>
      <c r="C6" s="123" t="s">
        <v>39</v>
      </c>
      <c r="D6" s="120"/>
      <c r="E6" s="124">
        <v>2022</v>
      </c>
      <c r="F6" s="125">
        <v>2023</v>
      </c>
      <c r="G6" s="125">
        <v>2024</v>
      </c>
      <c r="H6" s="125">
        <v>2025</v>
      </c>
      <c r="I6" s="125">
        <v>2026</v>
      </c>
      <c r="J6" s="125">
        <v>2027</v>
      </c>
      <c r="K6" s="125">
        <v>2028</v>
      </c>
      <c r="L6" s="125">
        <v>2029</v>
      </c>
      <c r="M6" s="125">
        <v>2030</v>
      </c>
      <c r="N6" s="125">
        <v>2031</v>
      </c>
      <c r="O6" s="125">
        <v>2032</v>
      </c>
      <c r="P6" s="125">
        <v>2033</v>
      </c>
      <c r="Q6" s="125">
        <v>2034</v>
      </c>
      <c r="R6" s="125">
        <v>2035</v>
      </c>
      <c r="S6" s="125">
        <v>2036</v>
      </c>
      <c r="T6" s="125">
        <v>2037</v>
      </c>
    </row>
    <row r="7" spans="1:20" x14ac:dyDescent="0.25">
      <c r="A7" s="118"/>
      <c r="B7" s="126" t="s">
        <v>105</v>
      </c>
      <c r="C7" s="127"/>
      <c r="D7" s="128" t="s">
        <v>106</v>
      </c>
      <c r="E7" s="129">
        <v>4010905</v>
      </c>
      <c r="F7" s="130">
        <f t="shared" ref="F7:T7" si="0">E16</f>
        <v>4010905</v>
      </c>
      <c r="G7" s="130">
        <f t="shared" si="0"/>
        <v>4299062</v>
      </c>
      <c r="H7" s="130">
        <f t="shared" si="0"/>
        <v>4541283</v>
      </c>
      <c r="I7" s="130">
        <f t="shared" si="0"/>
        <v>4795725</v>
      </c>
      <c r="J7" s="130">
        <f t="shared" si="0"/>
        <v>5173598</v>
      </c>
      <c r="K7" s="130">
        <f t="shared" si="0"/>
        <v>4455284</v>
      </c>
      <c r="L7" s="130">
        <f t="shared" si="0"/>
        <v>5145971</v>
      </c>
      <c r="M7" s="130">
        <f t="shared" si="0"/>
        <v>4831914</v>
      </c>
      <c r="N7" s="130">
        <f t="shared" si="0"/>
        <v>4278916</v>
      </c>
      <c r="O7" s="130">
        <f t="shared" si="0"/>
        <v>3892778</v>
      </c>
      <c r="P7" s="130">
        <f t="shared" si="0"/>
        <v>4528135</v>
      </c>
      <c r="Q7" s="130">
        <f t="shared" si="0"/>
        <v>5222194</v>
      </c>
      <c r="R7" s="130">
        <f t="shared" si="0"/>
        <v>6069377</v>
      </c>
      <c r="S7" s="130">
        <f t="shared" si="0"/>
        <v>5421991</v>
      </c>
      <c r="T7" s="130">
        <f t="shared" si="0"/>
        <v>4884642</v>
      </c>
    </row>
    <row r="8" spans="1:20" x14ac:dyDescent="0.25">
      <c r="A8" s="118"/>
      <c r="B8" s="131" t="s">
        <v>108</v>
      </c>
      <c r="C8" s="132"/>
      <c r="D8" s="132"/>
      <c r="E8" s="133">
        <v>0</v>
      </c>
      <c r="F8" s="134">
        <v>435000</v>
      </c>
      <c r="G8" s="134">
        <v>485000</v>
      </c>
      <c r="H8" s="134">
        <v>535000</v>
      </c>
      <c r="I8" s="134">
        <v>585000</v>
      </c>
      <c r="J8" s="134">
        <v>635000</v>
      </c>
      <c r="K8" s="134">
        <v>657200</v>
      </c>
      <c r="L8" s="134">
        <v>680200</v>
      </c>
      <c r="M8" s="134">
        <v>704000</v>
      </c>
      <c r="N8" s="134">
        <v>728600</v>
      </c>
      <c r="O8" s="134">
        <v>754100</v>
      </c>
      <c r="P8" s="134">
        <v>780500</v>
      </c>
      <c r="Q8" s="134">
        <v>807800</v>
      </c>
      <c r="R8" s="134">
        <v>836100</v>
      </c>
      <c r="S8" s="134">
        <v>865400</v>
      </c>
      <c r="T8" s="134">
        <v>895700</v>
      </c>
    </row>
    <row r="9" spans="1:20" x14ac:dyDescent="0.25">
      <c r="A9" s="118"/>
      <c r="B9" s="202" t="s">
        <v>109</v>
      </c>
      <c r="C9" s="202"/>
      <c r="D9" s="136"/>
      <c r="E9" s="137"/>
      <c r="F9" s="138" t="s">
        <v>29</v>
      </c>
      <c r="G9" s="138" t="s">
        <v>29</v>
      </c>
      <c r="H9" s="138" t="s">
        <v>29</v>
      </c>
      <c r="I9" s="138" t="s">
        <v>29</v>
      </c>
      <c r="J9" s="138" t="s">
        <v>29</v>
      </c>
      <c r="K9" s="138" t="s">
        <v>29</v>
      </c>
      <c r="L9" s="138" t="s">
        <v>29</v>
      </c>
      <c r="M9" s="138" t="s">
        <v>29</v>
      </c>
      <c r="N9" s="138" t="s">
        <v>29</v>
      </c>
      <c r="O9" s="138" t="s">
        <v>29</v>
      </c>
      <c r="P9" s="138" t="s">
        <v>29</v>
      </c>
      <c r="Q9" s="138" t="s">
        <v>29</v>
      </c>
      <c r="R9" s="138" t="s">
        <v>29</v>
      </c>
      <c r="S9" s="138" t="s">
        <v>29</v>
      </c>
      <c r="T9" s="138" t="s">
        <v>29</v>
      </c>
    </row>
    <row r="10" spans="1:20" hidden="1" x14ac:dyDescent="0.25">
      <c r="A10" s="118"/>
      <c r="B10" s="203" t="s">
        <v>110</v>
      </c>
      <c r="C10" s="203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1:20" x14ac:dyDescent="0.25">
      <c r="A11" s="118"/>
      <c r="B11" s="132" t="s">
        <v>111</v>
      </c>
      <c r="C11" s="132"/>
      <c r="D11" s="139" t="s">
        <v>112</v>
      </c>
      <c r="E11" s="140">
        <f t="shared" ref="E11:T11" si="1">SUM(E8:E10)</f>
        <v>0</v>
      </c>
      <c r="F11" s="140">
        <f t="shared" si="1"/>
        <v>435000</v>
      </c>
      <c r="G11" s="140">
        <f t="shared" si="1"/>
        <v>485000</v>
      </c>
      <c r="H11" s="140">
        <f t="shared" si="1"/>
        <v>535000</v>
      </c>
      <c r="I11" s="140">
        <f t="shared" si="1"/>
        <v>585000</v>
      </c>
      <c r="J11" s="140">
        <f t="shared" si="1"/>
        <v>635000</v>
      </c>
      <c r="K11" s="140">
        <f t="shared" si="1"/>
        <v>657200</v>
      </c>
      <c r="L11" s="140">
        <f t="shared" si="1"/>
        <v>680200</v>
      </c>
      <c r="M11" s="140">
        <f t="shared" si="1"/>
        <v>704000</v>
      </c>
      <c r="N11" s="140">
        <f t="shared" si="1"/>
        <v>728600</v>
      </c>
      <c r="O11" s="140">
        <f t="shared" si="1"/>
        <v>754100</v>
      </c>
      <c r="P11" s="140">
        <f t="shared" si="1"/>
        <v>780500</v>
      </c>
      <c r="Q11" s="140">
        <f t="shared" si="1"/>
        <v>807800</v>
      </c>
      <c r="R11" s="140">
        <f t="shared" si="1"/>
        <v>836100</v>
      </c>
      <c r="S11" s="140">
        <f t="shared" si="1"/>
        <v>865400</v>
      </c>
      <c r="T11" s="140">
        <f t="shared" si="1"/>
        <v>895700</v>
      </c>
    </row>
    <row r="12" spans="1:20" hidden="1" x14ac:dyDescent="0.25">
      <c r="A12" s="118"/>
      <c r="B12" s="141" t="s">
        <v>113</v>
      </c>
      <c r="C12" s="142"/>
      <c r="D12" s="143"/>
      <c r="E12" s="144">
        <f t="shared" ref="E12:T12" si="2">Interest</f>
        <v>7.0000000000000001E-3</v>
      </c>
      <c r="F12" s="144">
        <f t="shared" si="2"/>
        <v>7.0000000000000001E-3</v>
      </c>
      <c r="G12" s="144">
        <f t="shared" si="2"/>
        <v>7.0000000000000001E-3</v>
      </c>
      <c r="H12" s="144">
        <f t="shared" si="2"/>
        <v>7.0000000000000001E-3</v>
      </c>
      <c r="I12" s="144">
        <f t="shared" si="2"/>
        <v>7.0000000000000001E-3</v>
      </c>
      <c r="J12" s="144">
        <f t="shared" si="2"/>
        <v>7.0000000000000001E-3</v>
      </c>
      <c r="K12" s="144">
        <f t="shared" si="2"/>
        <v>7.0000000000000001E-3</v>
      </c>
      <c r="L12" s="144">
        <f t="shared" si="2"/>
        <v>7.0000000000000001E-3</v>
      </c>
      <c r="M12" s="144">
        <f t="shared" si="2"/>
        <v>7.0000000000000001E-3</v>
      </c>
      <c r="N12" s="144">
        <f t="shared" si="2"/>
        <v>7.0000000000000001E-3</v>
      </c>
      <c r="O12" s="144">
        <f t="shared" si="2"/>
        <v>7.0000000000000001E-3</v>
      </c>
      <c r="P12" s="144">
        <f t="shared" si="2"/>
        <v>7.0000000000000001E-3</v>
      </c>
      <c r="Q12" s="144">
        <f t="shared" si="2"/>
        <v>7.0000000000000001E-3</v>
      </c>
      <c r="R12" s="144">
        <f t="shared" si="2"/>
        <v>7.0000000000000001E-3</v>
      </c>
      <c r="S12" s="144">
        <f t="shared" si="2"/>
        <v>7.0000000000000001E-3</v>
      </c>
      <c r="T12" s="144">
        <f t="shared" si="2"/>
        <v>7.0000000000000001E-3</v>
      </c>
    </row>
    <row r="13" spans="1:20" x14ac:dyDescent="0.25">
      <c r="A13" s="118"/>
      <c r="B13" s="141" t="s">
        <v>114</v>
      </c>
      <c r="C13" s="142"/>
      <c r="D13" s="145" t="s">
        <v>115</v>
      </c>
      <c r="E13" s="146" t="s">
        <v>107</v>
      </c>
      <c r="F13" s="147">
        <f t="shared" ref="F13:T13" si="3">ROUND(F12*(F7+F11/2+F14/2),0)</f>
        <v>28983</v>
      </c>
      <c r="G13" s="147">
        <f t="shared" si="3"/>
        <v>30833</v>
      </c>
      <c r="H13" s="147">
        <f t="shared" si="3"/>
        <v>32566</v>
      </c>
      <c r="I13" s="147">
        <f t="shared" si="3"/>
        <v>34771</v>
      </c>
      <c r="J13" s="147">
        <f t="shared" si="3"/>
        <v>33584</v>
      </c>
      <c r="K13" s="147">
        <f t="shared" si="3"/>
        <v>33487</v>
      </c>
      <c r="L13" s="147">
        <f t="shared" si="3"/>
        <v>34801</v>
      </c>
      <c r="M13" s="147">
        <f t="shared" si="3"/>
        <v>31777</v>
      </c>
      <c r="N13" s="147">
        <f t="shared" si="3"/>
        <v>28501</v>
      </c>
      <c r="O13" s="147">
        <f t="shared" si="3"/>
        <v>29370</v>
      </c>
      <c r="P13" s="147">
        <f t="shared" si="3"/>
        <v>34007</v>
      </c>
      <c r="Q13" s="147">
        <f t="shared" si="3"/>
        <v>39383</v>
      </c>
      <c r="R13" s="147">
        <f t="shared" si="3"/>
        <v>40080</v>
      </c>
      <c r="S13" s="147">
        <f t="shared" si="3"/>
        <v>35947</v>
      </c>
      <c r="T13" s="147">
        <f t="shared" si="3"/>
        <v>36173</v>
      </c>
    </row>
    <row r="14" spans="1:20" x14ac:dyDescent="0.25">
      <c r="A14" s="118"/>
      <c r="B14" s="120" t="s">
        <v>116</v>
      </c>
      <c r="C14" s="84"/>
      <c r="D14" s="148"/>
      <c r="E14" s="149">
        <f>-Expenditures!expenditures0</f>
        <v>0</v>
      </c>
      <c r="F14" s="149">
        <f>-Expenditures!expenditures1</f>
        <v>-175826</v>
      </c>
      <c r="G14" s="149">
        <f>-Expenditures!expenditures2</f>
        <v>-273612</v>
      </c>
      <c r="H14" s="149">
        <f>-Expenditures!expenditures3</f>
        <v>-313124</v>
      </c>
      <c r="I14" s="149">
        <f>-Expenditures!expenditures4</f>
        <v>-241898</v>
      </c>
      <c r="J14" s="149">
        <f>-Expenditures!expenditures5</f>
        <v>-1386898</v>
      </c>
      <c r="K14" s="149">
        <f>-Expenditures!expenditures6</f>
        <v>0</v>
      </c>
      <c r="L14" s="149">
        <f>-Expenditures!expenditures7</f>
        <v>-1029058</v>
      </c>
      <c r="M14" s="149">
        <f>-Expenditures!expenditures8</f>
        <v>-1288775</v>
      </c>
      <c r="N14" s="149">
        <f>-Expenditures!expenditures9</f>
        <v>-1143239</v>
      </c>
      <c r="O14" s="149">
        <f>-Expenditures!expenditures10</f>
        <v>-148113</v>
      </c>
      <c r="P14" s="149">
        <f>-Expenditures!expenditures11</f>
        <v>-120448</v>
      </c>
      <c r="Q14" s="149">
        <f>-Expenditures!expenditures12</f>
        <v>0</v>
      </c>
      <c r="R14" s="149">
        <f>-Expenditures!expenditures13</f>
        <v>-1523566</v>
      </c>
      <c r="S14" s="149">
        <f>-Expenditures!expenditures14</f>
        <v>-1438696</v>
      </c>
      <c r="T14" s="149">
        <f>-Expenditures!expenditures15</f>
        <v>-329842</v>
      </c>
    </row>
    <row r="15" spans="1:20" x14ac:dyDescent="0.25">
      <c r="A15" s="118"/>
      <c r="B15" s="150"/>
      <c r="C15" s="84"/>
      <c r="D15" s="151"/>
      <c r="E15" s="152" t="s">
        <v>64</v>
      </c>
      <c r="F15" s="152" t="s">
        <v>64</v>
      </c>
      <c r="G15" s="152" t="s">
        <v>64</v>
      </c>
      <c r="H15" s="152" t="s">
        <v>64</v>
      </c>
      <c r="I15" s="152" t="s">
        <v>64</v>
      </c>
      <c r="J15" s="152" t="s">
        <v>64</v>
      </c>
      <c r="K15" s="152" t="s">
        <v>64</v>
      </c>
      <c r="L15" s="152" t="s">
        <v>64</v>
      </c>
      <c r="M15" s="152" t="s">
        <v>64</v>
      </c>
      <c r="N15" s="152" t="s">
        <v>64</v>
      </c>
      <c r="O15" s="152" t="s">
        <v>64</v>
      </c>
      <c r="P15" s="152" t="s">
        <v>64</v>
      </c>
      <c r="Q15" s="152" t="s">
        <v>64</v>
      </c>
      <c r="R15" s="152" t="s">
        <v>64</v>
      </c>
      <c r="S15" s="152" t="s">
        <v>64</v>
      </c>
      <c r="T15" s="152" t="s">
        <v>64</v>
      </c>
    </row>
    <row r="16" spans="1:20" x14ac:dyDescent="0.25">
      <c r="A16" s="118"/>
      <c r="B16" s="120" t="s">
        <v>117</v>
      </c>
      <c r="C16" s="84"/>
      <c r="D16" s="153"/>
      <c r="E16" s="154">
        <f t="shared" ref="E16:T16" si="4">SUM(E7,E11,E13,E14)</f>
        <v>4010905</v>
      </c>
      <c r="F16" s="154">
        <f t="shared" si="4"/>
        <v>4299062</v>
      </c>
      <c r="G16" s="154">
        <f t="shared" si="4"/>
        <v>4541283</v>
      </c>
      <c r="H16" s="154">
        <f t="shared" si="4"/>
        <v>4795725</v>
      </c>
      <c r="I16" s="154">
        <f t="shared" si="4"/>
        <v>5173598</v>
      </c>
      <c r="J16" s="154">
        <f t="shared" si="4"/>
        <v>4455284</v>
      </c>
      <c r="K16" s="154">
        <f t="shared" si="4"/>
        <v>5145971</v>
      </c>
      <c r="L16" s="154">
        <f t="shared" si="4"/>
        <v>4831914</v>
      </c>
      <c r="M16" s="154">
        <f t="shared" si="4"/>
        <v>4278916</v>
      </c>
      <c r="N16" s="154">
        <f t="shared" si="4"/>
        <v>3892778</v>
      </c>
      <c r="O16" s="154">
        <f t="shared" si="4"/>
        <v>4528135</v>
      </c>
      <c r="P16" s="154">
        <f t="shared" si="4"/>
        <v>5222194</v>
      </c>
      <c r="Q16" s="154">
        <f t="shared" si="4"/>
        <v>6069377</v>
      </c>
      <c r="R16" s="154">
        <f t="shared" si="4"/>
        <v>5421991</v>
      </c>
      <c r="S16" s="154">
        <f t="shared" si="4"/>
        <v>4884642</v>
      </c>
      <c r="T16" s="154">
        <f t="shared" si="4"/>
        <v>5486673</v>
      </c>
    </row>
    <row r="17" spans="1:20" ht="18.75" x14ac:dyDescent="0.3">
      <c r="A17" s="155"/>
      <c r="B17" s="155"/>
      <c r="C17" s="114"/>
      <c r="D17" s="153"/>
      <c r="E17" s="156" t="s">
        <v>29</v>
      </c>
      <c r="F17" s="156" t="s">
        <v>29</v>
      </c>
      <c r="G17" s="156" t="s">
        <v>29</v>
      </c>
      <c r="H17" s="156" t="s">
        <v>29</v>
      </c>
      <c r="I17" s="156" t="s">
        <v>29</v>
      </c>
      <c r="J17" s="156" t="s">
        <v>29</v>
      </c>
      <c r="K17" s="156" t="s">
        <v>29</v>
      </c>
      <c r="L17" s="156" t="s">
        <v>29</v>
      </c>
      <c r="M17" s="156" t="s">
        <v>29</v>
      </c>
      <c r="N17" s="156" t="s">
        <v>29</v>
      </c>
      <c r="O17" s="156" t="s">
        <v>29</v>
      </c>
      <c r="P17" s="156" t="s">
        <v>29</v>
      </c>
      <c r="Q17" s="156" t="s">
        <v>29</v>
      </c>
      <c r="R17" s="156" t="s">
        <v>29</v>
      </c>
      <c r="S17" s="156" t="s">
        <v>29</v>
      </c>
      <c r="T17" s="156" t="s">
        <v>29</v>
      </c>
    </row>
    <row r="18" spans="1:20" x14ac:dyDescent="0.25">
      <c r="A18" s="155"/>
      <c r="B18" s="157"/>
      <c r="C18" s="158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x14ac:dyDescent="0.25">
      <c r="A19" s="161"/>
      <c r="B19" s="161"/>
      <c r="C19" s="30"/>
      <c r="D19" s="7"/>
      <c r="E19" s="162"/>
      <c r="F19" s="162"/>
      <c r="G19" s="162"/>
      <c r="H19" s="162"/>
      <c r="I19" s="162"/>
      <c r="J19" s="162"/>
      <c r="K19" s="162"/>
      <c r="L19" s="163"/>
      <c r="M19" s="163"/>
      <c r="N19" s="163"/>
      <c r="O19" s="163"/>
      <c r="P19" s="163"/>
      <c r="Q19" s="163"/>
      <c r="R19" s="163"/>
      <c r="S19" s="163"/>
      <c r="T19" s="163"/>
    </row>
    <row r="20" spans="1:20" x14ac:dyDescent="0.25">
      <c r="A20" s="161"/>
      <c r="B20" s="161"/>
      <c r="C20" s="7"/>
      <c r="D20" s="7"/>
      <c r="E20" s="162"/>
      <c r="F20" s="162"/>
      <c r="G20" s="162"/>
      <c r="H20" s="162"/>
      <c r="I20" s="162"/>
      <c r="J20" s="162"/>
      <c r="K20" s="164"/>
      <c r="L20" s="165"/>
      <c r="M20" s="165"/>
      <c r="N20" s="166"/>
      <c r="O20" s="166"/>
      <c r="P20" s="166"/>
      <c r="Q20" s="166"/>
      <c r="R20" s="166"/>
      <c r="S20" s="166"/>
      <c r="T20" s="166"/>
    </row>
    <row r="21" spans="1:20" x14ac:dyDescent="0.25">
      <c r="A21" s="161"/>
      <c r="B21" s="161"/>
      <c r="C21" s="29"/>
      <c r="D21" s="29"/>
      <c r="E21" s="153"/>
      <c r="F21" s="153"/>
      <c r="G21" s="153"/>
      <c r="H21" s="153"/>
      <c r="I21" s="153"/>
      <c r="J21" s="153"/>
      <c r="K21" s="164"/>
      <c r="L21" s="164"/>
      <c r="M21" s="164"/>
      <c r="N21" s="164"/>
      <c r="O21" s="164"/>
      <c r="P21" s="164"/>
      <c r="Q21" s="164"/>
      <c r="R21" s="164"/>
      <c r="S21" s="164"/>
      <c r="T21" s="164"/>
    </row>
    <row r="22" spans="1:20" x14ac:dyDescent="0.25">
      <c r="A22" s="161"/>
      <c r="B22" s="161"/>
      <c r="C22" s="167"/>
      <c r="D22" s="29"/>
      <c r="E22" s="162"/>
      <c r="F22" s="168"/>
      <c r="G22" s="153"/>
      <c r="H22" s="153"/>
      <c r="I22" s="153"/>
      <c r="J22" s="153"/>
      <c r="K22" s="164"/>
      <c r="L22" s="169"/>
      <c r="M22" s="170"/>
      <c r="N22" s="170"/>
      <c r="O22" s="170"/>
      <c r="P22" s="170"/>
      <c r="Q22" s="170"/>
      <c r="R22" s="170"/>
      <c r="S22" s="170"/>
      <c r="T22" s="170"/>
    </row>
    <row r="23" spans="1:20" x14ac:dyDescent="0.25">
      <c r="A23" s="161"/>
      <c r="B23" s="161"/>
      <c r="C23" s="29"/>
      <c r="D23" s="29"/>
      <c r="E23" s="168"/>
      <c r="F23" s="171"/>
      <c r="G23" s="153"/>
      <c r="H23" s="153"/>
      <c r="I23" s="153"/>
      <c r="J23" s="153"/>
      <c r="K23" s="164"/>
      <c r="L23" s="169"/>
      <c r="M23" s="170"/>
      <c r="N23" s="170"/>
      <c r="O23" s="170"/>
      <c r="P23" s="170"/>
      <c r="Q23" s="170"/>
      <c r="R23" s="170"/>
      <c r="S23" s="170"/>
      <c r="T23" s="170"/>
    </row>
    <row r="24" spans="1:20" x14ac:dyDescent="0.25">
      <c r="A24" s="161"/>
      <c r="B24" s="161"/>
      <c r="C24" s="29"/>
      <c r="D24" s="59"/>
      <c r="E24" s="153"/>
      <c r="F24" s="153"/>
      <c r="G24" s="153"/>
      <c r="H24" s="153"/>
      <c r="I24" s="153"/>
      <c r="J24" s="153"/>
      <c r="K24" s="164"/>
      <c r="L24" s="169"/>
      <c r="M24" s="170"/>
      <c r="N24" s="170"/>
      <c r="O24" s="170"/>
      <c r="P24" s="170"/>
      <c r="Q24" s="170"/>
      <c r="R24" s="170"/>
      <c r="S24" s="170"/>
      <c r="T24" s="170"/>
    </row>
    <row r="25" spans="1:20" x14ac:dyDescent="0.25">
      <c r="A25" s="161"/>
      <c r="B25" s="161"/>
      <c r="C25" s="64"/>
      <c r="D25" s="59"/>
      <c r="E25" s="172"/>
      <c r="F25" s="172"/>
      <c r="G25" s="172"/>
      <c r="H25" s="172"/>
      <c r="I25" s="172"/>
      <c r="J25" s="172"/>
      <c r="K25" s="164"/>
      <c r="L25" s="173"/>
      <c r="M25" s="164"/>
      <c r="N25" s="173"/>
      <c r="O25" s="173"/>
      <c r="P25" s="173"/>
      <c r="Q25" s="173"/>
      <c r="R25" s="173"/>
      <c r="S25" s="173"/>
      <c r="T25" s="173"/>
    </row>
    <row r="26" spans="1:20" x14ac:dyDescent="0.25">
      <c r="A26" s="155"/>
      <c r="B26" s="155"/>
      <c r="C26" s="174" t="s">
        <v>118</v>
      </c>
      <c r="D26" s="114"/>
      <c r="E26" s="114"/>
      <c r="F26" s="175" t="s">
        <v>119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</row>
    <row r="27" spans="1:20" ht="21" thickBot="1" x14ac:dyDescent="0.35">
      <c r="A27" s="161"/>
      <c r="B27" s="155"/>
      <c r="C27" s="177" t="s">
        <v>29</v>
      </c>
      <c r="D27" s="120"/>
      <c r="E27" s="178"/>
      <c r="F27" s="179">
        <v>2038</v>
      </c>
      <c r="G27" s="179">
        <v>2039</v>
      </c>
      <c r="H27" s="179">
        <v>2040</v>
      </c>
      <c r="I27" s="179">
        <v>2041</v>
      </c>
      <c r="J27" s="179">
        <v>2042</v>
      </c>
      <c r="K27" s="179">
        <v>2043</v>
      </c>
      <c r="L27" s="179">
        <v>2044</v>
      </c>
      <c r="M27" s="179">
        <v>2045</v>
      </c>
      <c r="N27" s="179">
        <v>2046</v>
      </c>
      <c r="O27" s="179">
        <v>2047</v>
      </c>
      <c r="P27" s="179">
        <v>2048</v>
      </c>
      <c r="Q27" s="179">
        <v>2049</v>
      </c>
      <c r="R27" s="179">
        <v>2050</v>
      </c>
      <c r="S27" s="179">
        <v>2051</v>
      </c>
      <c r="T27" s="179">
        <v>2052</v>
      </c>
    </row>
    <row r="28" spans="1:20" x14ac:dyDescent="0.25">
      <c r="A28" s="161"/>
      <c r="B28" s="126" t="s">
        <v>105</v>
      </c>
      <c r="C28" s="127"/>
      <c r="D28" s="180"/>
      <c r="E28" s="181"/>
      <c r="F28" s="130">
        <f>T16</f>
        <v>5486673</v>
      </c>
      <c r="G28" s="130">
        <f t="shared" ref="G28:T28" si="5">F37</f>
        <v>5810120</v>
      </c>
      <c r="H28" s="130">
        <f t="shared" si="5"/>
        <v>6353548</v>
      </c>
      <c r="I28" s="130">
        <f t="shared" si="5"/>
        <v>7394498</v>
      </c>
      <c r="J28" s="130">
        <f t="shared" si="5"/>
        <v>5247556</v>
      </c>
      <c r="K28" s="130">
        <f t="shared" si="5"/>
        <v>6351812</v>
      </c>
      <c r="L28" s="130">
        <f t="shared" si="5"/>
        <v>7501128</v>
      </c>
      <c r="M28" s="130">
        <f t="shared" si="5"/>
        <v>6641455</v>
      </c>
      <c r="N28" s="130">
        <f t="shared" si="5"/>
        <v>7288571</v>
      </c>
      <c r="O28" s="130">
        <f t="shared" si="5"/>
        <v>8495824</v>
      </c>
      <c r="P28" s="130">
        <f t="shared" si="5"/>
        <v>9574107</v>
      </c>
      <c r="Q28" s="130">
        <f t="shared" si="5"/>
        <v>10953302</v>
      </c>
      <c r="R28" s="130">
        <f t="shared" si="5"/>
        <v>8494856</v>
      </c>
      <c r="S28" s="130">
        <f t="shared" si="5"/>
        <v>5930503</v>
      </c>
      <c r="T28" s="130">
        <f t="shared" si="5"/>
        <v>2712391</v>
      </c>
    </row>
    <row r="29" spans="1:20" x14ac:dyDescent="0.25">
      <c r="A29" s="161"/>
      <c r="B29" s="131" t="s">
        <v>108</v>
      </c>
      <c r="C29" s="132"/>
      <c r="D29" s="132"/>
      <c r="E29" s="182"/>
      <c r="F29" s="134">
        <v>927000</v>
      </c>
      <c r="G29" s="134">
        <v>959400</v>
      </c>
      <c r="H29" s="134">
        <v>993000</v>
      </c>
      <c r="I29" s="134">
        <v>1027800</v>
      </c>
      <c r="J29" s="134">
        <v>1063800</v>
      </c>
      <c r="K29" s="134">
        <v>1101000</v>
      </c>
      <c r="L29" s="134">
        <v>1139500</v>
      </c>
      <c r="M29" s="134">
        <v>1179400</v>
      </c>
      <c r="N29" s="134">
        <v>1220700</v>
      </c>
      <c r="O29" s="134">
        <v>1263400</v>
      </c>
      <c r="P29" s="134">
        <v>1307600</v>
      </c>
      <c r="Q29" s="134">
        <v>1353400</v>
      </c>
      <c r="R29" s="134">
        <v>1400800</v>
      </c>
      <c r="S29" s="134">
        <v>1449800</v>
      </c>
      <c r="T29" s="134">
        <v>1500500</v>
      </c>
    </row>
    <row r="30" spans="1:20" x14ac:dyDescent="0.25">
      <c r="A30" s="161"/>
      <c r="B30" s="135" t="s">
        <v>109</v>
      </c>
      <c r="C30" s="183"/>
      <c r="D30" s="136"/>
      <c r="E30" s="184"/>
      <c r="F30" s="138" t="s">
        <v>29</v>
      </c>
      <c r="G30" s="138" t="s">
        <v>29</v>
      </c>
      <c r="H30" s="138" t="s">
        <v>29</v>
      </c>
      <c r="I30" s="138" t="s">
        <v>29</v>
      </c>
      <c r="J30" s="138" t="s">
        <v>29</v>
      </c>
      <c r="K30" s="138" t="s">
        <v>29</v>
      </c>
      <c r="L30" s="138" t="s">
        <v>29</v>
      </c>
      <c r="M30" s="138" t="s">
        <v>29</v>
      </c>
      <c r="N30" s="138" t="s">
        <v>29</v>
      </c>
      <c r="O30" s="138" t="s">
        <v>29</v>
      </c>
      <c r="P30" s="138" t="s">
        <v>29</v>
      </c>
      <c r="Q30" s="138" t="s">
        <v>29</v>
      </c>
      <c r="R30" s="138" t="s">
        <v>29</v>
      </c>
      <c r="S30" s="138" t="s">
        <v>29</v>
      </c>
      <c r="T30" s="138" t="s">
        <v>29</v>
      </c>
    </row>
    <row r="31" spans="1:20" hidden="1" x14ac:dyDescent="0.25">
      <c r="A31" s="161"/>
      <c r="B31" s="135" t="s">
        <v>110</v>
      </c>
      <c r="C31" s="136"/>
      <c r="D31" s="136"/>
      <c r="E31" s="184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</row>
    <row r="32" spans="1:20" x14ac:dyDescent="0.25">
      <c r="A32" s="161"/>
      <c r="B32" s="132" t="s">
        <v>120</v>
      </c>
      <c r="C32" s="132"/>
      <c r="D32" s="132"/>
      <c r="E32" s="182"/>
      <c r="F32" s="140">
        <f t="shared" ref="F32:T32" si="6">SUM(F29:F31)</f>
        <v>927000</v>
      </c>
      <c r="G32" s="140">
        <f t="shared" si="6"/>
        <v>959400</v>
      </c>
      <c r="H32" s="140">
        <f t="shared" si="6"/>
        <v>993000</v>
      </c>
      <c r="I32" s="140">
        <f t="shared" si="6"/>
        <v>1027800</v>
      </c>
      <c r="J32" s="140">
        <f t="shared" si="6"/>
        <v>1063800</v>
      </c>
      <c r="K32" s="140">
        <f t="shared" si="6"/>
        <v>1101000</v>
      </c>
      <c r="L32" s="140">
        <f t="shared" si="6"/>
        <v>1139500</v>
      </c>
      <c r="M32" s="140">
        <f t="shared" si="6"/>
        <v>1179400</v>
      </c>
      <c r="N32" s="140">
        <f t="shared" si="6"/>
        <v>1220700</v>
      </c>
      <c r="O32" s="140">
        <f t="shared" si="6"/>
        <v>1263400</v>
      </c>
      <c r="P32" s="140">
        <f t="shared" si="6"/>
        <v>1307600</v>
      </c>
      <c r="Q32" s="140">
        <f t="shared" si="6"/>
        <v>1353400</v>
      </c>
      <c r="R32" s="140">
        <f t="shared" si="6"/>
        <v>1400800</v>
      </c>
      <c r="S32" s="140">
        <f t="shared" si="6"/>
        <v>1449800</v>
      </c>
      <c r="T32" s="140">
        <f t="shared" si="6"/>
        <v>1500500</v>
      </c>
    </row>
    <row r="33" spans="1:20" hidden="1" x14ac:dyDescent="0.25">
      <c r="A33" s="161"/>
      <c r="B33" s="141" t="s">
        <v>113</v>
      </c>
      <c r="C33" s="142"/>
      <c r="D33" s="143"/>
      <c r="E33" s="185"/>
      <c r="F33" s="186">
        <f t="shared" ref="F33:T33" si="7">Interest</f>
        <v>7.0000000000000001E-3</v>
      </c>
      <c r="G33" s="186">
        <f t="shared" si="7"/>
        <v>7.0000000000000001E-3</v>
      </c>
      <c r="H33" s="186">
        <f t="shared" si="7"/>
        <v>7.0000000000000001E-3</v>
      </c>
      <c r="I33" s="186">
        <f t="shared" si="7"/>
        <v>7.0000000000000001E-3</v>
      </c>
      <c r="J33" s="186">
        <f t="shared" si="7"/>
        <v>7.0000000000000001E-3</v>
      </c>
      <c r="K33" s="186">
        <f t="shared" si="7"/>
        <v>7.0000000000000001E-3</v>
      </c>
      <c r="L33" s="186">
        <f t="shared" si="7"/>
        <v>7.0000000000000001E-3</v>
      </c>
      <c r="M33" s="186">
        <f t="shared" si="7"/>
        <v>7.0000000000000001E-3</v>
      </c>
      <c r="N33" s="186">
        <f t="shared" si="7"/>
        <v>7.0000000000000001E-3</v>
      </c>
      <c r="O33" s="186">
        <f t="shared" si="7"/>
        <v>7.0000000000000001E-3</v>
      </c>
      <c r="P33" s="186">
        <f t="shared" si="7"/>
        <v>7.0000000000000001E-3</v>
      </c>
      <c r="Q33" s="186">
        <f t="shared" si="7"/>
        <v>7.0000000000000001E-3</v>
      </c>
      <c r="R33" s="186">
        <f t="shared" si="7"/>
        <v>7.0000000000000001E-3</v>
      </c>
      <c r="S33" s="186">
        <f t="shared" si="7"/>
        <v>7.0000000000000001E-3</v>
      </c>
      <c r="T33" s="186">
        <f t="shared" si="7"/>
        <v>7.0000000000000001E-3</v>
      </c>
    </row>
    <row r="34" spans="1:20" x14ac:dyDescent="0.25">
      <c r="A34" s="161"/>
      <c r="B34" s="141" t="s">
        <v>114</v>
      </c>
      <c r="C34" s="142"/>
      <c r="D34" s="143"/>
      <c r="E34" s="185"/>
      <c r="F34" s="147">
        <f t="shared" ref="F34:T34" si="8">ROUND(F33*(F28+F32/2+F35/2),0)</f>
        <v>39401</v>
      </c>
      <c r="G34" s="147">
        <f t="shared" si="8"/>
        <v>42424</v>
      </c>
      <c r="H34" s="147">
        <f t="shared" si="8"/>
        <v>47950</v>
      </c>
      <c r="I34" s="147">
        <f t="shared" si="8"/>
        <v>44093</v>
      </c>
      <c r="J34" s="147">
        <f t="shared" si="8"/>
        <v>40456</v>
      </c>
      <c r="K34" s="147">
        <f t="shared" si="8"/>
        <v>48316</v>
      </c>
      <c r="L34" s="147">
        <f t="shared" si="8"/>
        <v>49326</v>
      </c>
      <c r="M34" s="147">
        <f t="shared" si="8"/>
        <v>48585</v>
      </c>
      <c r="N34" s="147">
        <f t="shared" si="8"/>
        <v>55053</v>
      </c>
      <c r="O34" s="147">
        <f t="shared" si="8"/>
        <v>63024</v>
      </c>
      <c r="P34" s="147">
        <f t="shared" si="8"/>
        <v>71595</v>
      </c>
      <c r="Q34" s="147">
        <f t="shared" si="8"/>
        <v>67831</v>
      </c>
      <c r="R34" s="147">
        <f t="shared" si="8"/>
        <v>50313</v>
      </c>
      <c r="S34" s="147">
        <f t="shared" si="8"/>
        <v>30145</v>
      </c>
      <c r="T34" s="147">
        <f t="shared" si="8"/>
        <v>11586</v>
      </c>
    </row>
    <row r="35" spans="1:20" x14ac:dyDescent="0.25">
      <c r="A35" s="161"/>
      <c r="B35" s="120" t="s">
        <v>116</v>
      </c>
      <c r="C35" s="84"/>
      <c r="D35" s="148"/>
      <c r="E35" s="114"/>
      <c r="F35" s="149">
        <f>-Expenditures!expenditures16</f>
        <v>-642954</v>
      </c>
      <c r="G35" s="149">
        <f>-Expenditures!expenditures17</f>
        <v>-458396</v>
      </c>
      <c r="H35" s="149">
        <f>-Expenditures!expenditures18</f>
        <v>0</v>
      </c>
      <c r="I35" s="149">
        <f>-Expenditures!expenditures19</f>
        <v>-3218835</v>
      </c>
      <c r="J35" s="149">
        <f>-Expenditures!expenditures20</f>
        <v>0</v>
      </c>
      <c r="K35" s="149">
        <f>-Expenditures!expenditures21</f>
        <v>0</v>
      </c>
      <c r="L35" s="149">
        <f>-Expenditures!expenditures22</f>
        <v>-2048499</v>
      </c>
      <c r="M35" s="149">
        <f>-Expenditures!expenditures23</f>
        <v>-580869</v>
      </c>
      <c r="N35" s="149">
        <f>-Expenditures!expenditures24</f>
        <v>-68500</v>
      </c>
      <c r="O35" s="149">
        <f>-Expenditures!expenditures25</f>
        <v>-248141</v>
      </c>
      <c r="P35" s="149">
        <f>-Expenditures!expenditures26</f>
        <v>0</v>
      </c>
      <c r="Q35" s="149">
        <f>-Expenditures!expenditures27</f>
        <v>-3879677</v>
      </c>
      <c r="R35" s="149">
        <f>-Expenditures!expenditures28</f>
        <v>-4015466</v>
      </c>
      <c r="S35" s="149">
        <f>-Expenditures!expenditures29</f>
        <v>-4698057</v>
      </c>
      <c r="T35" s="149">
        <f>-Expenditures!expenditures30</f>
        <v>-3615038</v>
      </c>
    </row>
    <row r="36" spans="1:20" x14ac:dyDescent="0.25">
      <c r="A36" s="161"/>
      <c r="B36" s="150"/>
      <c r="C36" s="84"/>
      <c r="D36" s="151"/>
      <c r="E36" s="152"/>
      <c r="F36" s="152" t="s">
        <v>64</v>
      </c>
      <c r="G36" s="152" t="s">
        <v>64</v>
      </c>
      <c r="H36" s="152" t="s">
        <v>64</v>
      </c>
      <c r="I36" s="152" t="s">
        <v>64</v>
      </c>
      <c r="J36" s="152" t="s">
        <v>64</v>
      </c>
      <c r="K36" s="152" t="s">
        <v>64</v>
      </c>
      <c r="L36" s="152" t="s">
        <v>64</v>
      </c>
      <c r="M36" s="152" t="s">
        <v>64</v>
      </c>
      <c r="N36" s="152" t="s">
        <v>64</v>
      </c>
      <c r="O36" s="152" t="s">
        <v>64</v>
      </c>
      <c r="P36" s="152" t="s">
        <v>64</v>
      </c>
      <c r="Q36" s="152" t="s">
        <v>64</v>
      </c>
      <c r="R36" s="152" t="s">
        <v>64</v>
      </c>
      <c r="S36" s="152" t="s">
        <v>64</v>
      </c>
      <c r="T36" s="152" t="s">
        <v>64</v>
      </c>
    </row>
    <row r="37" spans="1:20" ht="18.75" x14ac:dyDescent="0.3">
      <c r="A37" s="161"/>
      <c r="B37" s="120" t="s">
        <v>117</v>
      </c>
      <c r="C37" s="84"/>
      <c r="D37" s="187"/>
      <c r="E37" s="188"/>
      <c r="F37" s="154">
        <f t="shared" ref="F37:T37" si="9">SUM(F28,F32,F34,F35)</f>
        <v>5810120</v>
      </c>
      <c r="G37" s="154">
        <f t="shared" si="9"/>
        <v>6353548</v>
      </c>
      <c r="H37" s="154">
        <f t="shared" si="9"/>
        <v>7394498</v>
      </c>
      <c r="I37" s="154">
        <f t="shared" si="9"/>
        <v>5247556</v>
      </c>
      <c r="J37" s="154">
        <f t="shared" si="9"/>
        <v>6351812</v>
      </c>
      <c r="K37" s="154">
        <f t="shared" si="9"/>
        <v>7501128</v>
      </c>
      <c r="L37" s="154">
        <f t="shared" si="9"/>
        <v>6641455</v>
      </c>
      <c r="M37" s="154">
        <f t="shared" si="9"/>
        <v>7288571</v>
      </c>
      <c r="N37" s="154">
        <f t="shared" si="9"/>
        <v>8495824</v>
      </c>
      <c r="O37" s="154">
        <f t="shared" si="9"/>
        <v>9574107</v>
      </c>
      <c r="P37" s="189">
        <f t="shared" si="9"/>
        <v>10953302</v>
      </c>
      <c r="Q37" s="154">
        <f t="shared" si="9"/>
        <v>8494856</v>
      </c>
      <c r="R37" s="154">
        <f t="shared" si="9"/>
        <v>5930503</v>
      </c>
      <c r="S37" s="154">
        <f t="shared" si="9"/>
        <v>2712391</v>
      </c>
      <c r="T37" s="154">
        <f t="shared" si="9"/>
        <v>609439</v>
      </c>
    </row>
    <row r="38" spans="1:20" ht="18.75" x14ac:dyDescent="0.3">
      <c r="A38" s="155"/>
      <c r="B38" s="155"/>
      <c r="C38" s="114"/>
      <c r="D38" s="153"/>
      <c r="E38" s="176"/>
      <c r="F38" s="190" t="s">
        <v>29</v>
      </c>
      <c r="G38" s="190" t="s">
        <v>29</v>
      </c>
      <c r="H38" s="190" t="s">
        <v>29</v>
      </c>
      <c r="I38" s="190" t="s">
        <v>29</v>
      </c>
      <c r="J38" s="190" t="s">
        <v>29</v>
      </c>
      <c r="K38" s="190" t="s">
        <v>29</v>
      </c>
      <c r="L38" s="190" t="s">
        <v>29</v>
      </c>
      <c r="M38" s="190" t="s">
        <v>29</v>
      </c>
      <c r="N38" s="190" t="s">
        <v>29</v>
      </c>
      <c r="O38" s="190" t="s">
        <v>29</v>
      </c>
      <c r="P38" s="190" t="s">
        <v>29</v>
      </c>
      <c r="Q38" s="190" t="s">
        <v>29</v>
      </c>
      <c r="R38" s="190" t="s">
        <v>29</v>
      </c>
      <c r="S38" s="190" t="s">
        <v>29</v>
      </c>
      <c r="T38" s="190" t="s">
        <v>121</v>
      </c>
    </row>
    <row r="39" spans="1:20" x14ac:dyDescent="0.25">
      <c r="A39" s="155"/>
      <c r="B39" s="191"/>
      <c r="C39" s="192"/>
      <c r="D39" s="159"/>
      <c r="E39" s="193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</row>
    <row r="40" spans="1:20" x14ac:dyDescent="0.25">
      <c r="A40" s="155"/>
      <c r="B40" s="191"/>
      <c r="C40" s="194"/>
      <c r="D40" s="114"/>
      <c r="E40" s="19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196"/>
    </row>
    <row r="41" spans="1:20" x14ac:dyDescent="0.25">
      <c r="A41" s="155"/>
      <c r="B41" s="191"/>
      <c r="C41" s="194"/>
      <c r="D41" s="11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84"/>
    </row>
    <row r="42" spans="1:20" x14ac:dyDescent="0.25">
      <c r="A42" s="155"/>
      <c r="B42" s="191"/>
      <c r="C42" s="194"/>
      <c r="D42" s="114"/>
      <c r="E42" s="195"/>
      <c r="F42" s="195"/>
      <c r="G42" s="195"/>
      <c r="H42" s="195"/>
      <c r="I42" s="195"/>
      <c r="J42" s="195"/>
      <c r="K42" s="195"/>
      <c r="L42" s="197"/>
      <c r="M42" s="195"/>
      <c r="N42" s="195"/>
      <c r="O42" s="195"/>
      <c r="P42" s="195"/>
      <c r="Q42" s="195"/>
      <c r="R42" s="195"/>
      <c r="S42" s="195"/>
      <c r="T42" s="195"/>
    </row>
    <row r="43" spans="1:20" x14ac:dyDescent="0.25">
      <c r="B43" s="198" t="s">
        <v>26</v>
      </c>
      <c r="C43" s="155"/>
      <c r="D43" s="118"/>
      <c r="E43" s="19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1:20" x14ac:dyDescent="0.25">
      <c r="A44" s="200" t="s">
        <v>34</v>
      </c>
      <c r="B44" s="157" t="s">
        <v>122</v>
      </c>
      <c r="D44" s="114"/>
      <c r="E44" s="84"/>
      <c r="F44" s="84"/>
      <c r="G44" s="84"/>
      <c r="H44" s="84"/>
      <c r="I44" s="84"/>
      <c r="J44" s="84"/>
      <c r="K44" s="84"/>
      <c r="L44" s="84"/>
      <c r="M44" s="84"/>
      <c r="N44" s="176"/>
      <c r="O44" s="84"/>
      <c r="P44" s="84"/>
      <c r="Q44" s="84"/>
      <c r="R44" s="84"/>
      <c r="S44" s="84"/>
      <c r="T44" s="84"/>
    </row>
    <row r="45" spans="1:20" x14ac:dyDescent="0.25">
      <c r="A45" s="200" t="s">
        <v>37</v>
      </c>
      <c r="B45" s="176" t="s">
        <v>123</v>
      </c>
      <c r="D45" s="84"/>
      <c r="E45" s="153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1:20" x14ac:dyDescent="0.25">
      <c r="A46" s="200" t="s">
        <v>124</v>
      </c>
      <c r="B46" s="201">
        <v>7.0000000000000001E-3</v>
      </c>
      <c r="C46" s="176" t="s">
        <v>125</v>
      </c>
      <c r="E46" s="153"/>
      <c r="F46" s="8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1:20" x14ac:dyDescent="0.25">
      <c r="A47" s="200" t="s">
        <v>126</v>
      </c>
      <c r="B47" s="176" t="s">
        <v>127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x14ac:dyDescent="0.25">
      <c r="A48" s="200" t="s">
        <v>128</v>
      </c>
      <c r="B48" s="176" t="s">
        <v>129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56" spans="1:1" x14ac:dyDescent="0.25">
      <c r="A56" t="s">
        <v>130</v>
      </c>
    </row>
    <row r="57" spans="1:1" x14ac:dyDescent="0.25">
      <c r="A57" t="s">
        <v>63</v>
      </c>
    </row>
  </sheetData>
  <mergeCells count="2">
    <mergeCell ref="B9:C9"/>
    <mergeCell ref="B10:C10"/>
  </mergeCells>
  <pageMargins left="0.7" right="0.7" top="0.75" bottom="0.75" header="0.3" footer="0.3"/>
  <pageSetup scale="44" orientation="landscape" horizontalDpi="1200" verticalDpi="1200" r:id="rId1"/>
  <headerFooter>
    <oddHeader>&amp;RPage &amp;P of &amp;N</oddHeader>
    <oddFooter>&amp;R&amp;A - Page 3.5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57</vt:i4>
      </vt:variant>
    </vt:vector>
  </HeadingPairs>
  <TitlesOfParts>
    <vt:vector size="60" baseType="lpstr">
      <vt:lpstr>Property Info</vt:lpstr>
      <vt:lpstr>Expenditures</vt:lpstr>
      <vt:lpstr>Funding Plan</vt:lpstr>
      <vt:lpstr>Beginning_Reserve_Balance</vt:lpstr>
      <vt:lpstr>Client_City</vt:lpstr>
      <vt:lpstr>Client_Long</vt:lpstr>
      <vt:lpstr>Client_State</vt:lpstr>
      <vt:lpstr>'Funding Plan'!comprises</vt:lpstr>
      <vt:lpstr>Currency_Symbol</vt:lpstr>
      <vt:lpstr>Current_Fiscal_Year</vt:lpstr>
      <vt:lpstr>Current_Reserve_Contributions</vt:lpstr>
      <vt:lpstr>Date_of_Inspection</vt:lpstr>
      <vt:lpstr>Expenditures!expenditures</vt:lpstr>
      <vt:lpstr>Expenditures!expenditures0</vt:lpstr>
      <vt:lpstr>Expenditures!expenditures1</vt:lpstr>
      <vt:lpstr>Expenditures!expenditures10</vt:lpstr>
      <vt:lpstr>Expenditures!expenditures11</vt:lpstr>
      <vt:lpstr>Expenditures!expenditures12</vt:lpstr>
      <vt:lpstr>Expenditures!expenditures13</vt:lpstr>
      <vt:lpstr>Expenditures!expenditures14</vt:lpstr>
      <vt:lpstr>Expenditures!expenditures15</vt:lpstr>
      <vt:lpstr>Expenditures!expenditures16</vt:lpstr>
      <vt:lpstr>Expenditures!expenditures17</vt:lpstr>
      <vt:lpstr>Expenditures!expenditures18</vt:lpstr>
      <vt:lpstr>Expenditures!expenditures19</vt:lpstr>
      <vt:lpstr>Expenditures!expenditures2</vt:lpstr>
      <vt:lpstr>Expenditures!expenditures20</vt:lpstr>
      <vt:lpstr>Expenditures!expenditures21</vt:lpstr>
      <vt:lpstr>Expenditures!expenditures22</vt:lpstr>
      <vt:lpstr>Expenditures!expenditures23</vt:lpstr>
      <vt:lpstr>Expenditures!expenditures24</vt:lpstr>
      <vt:lpstr>Expenditures!expenditures25</vt:lpstr>
      <vt:lpstr>Expenditures!expenditures26</vt:lpstr>
      <vt:lpstr>Expenditures!expenditures27</vt:lpstr>
      <vt:lpstr>Expenditures!expenditures28</vt:lpstr>
      <vt:lpstr>Expenditures!expenditures29</vt:lpstr>
      <vt:lpstr>Expenditures!expenditures3</vt:lpstr>
      <vt:lpstr>Expenditures!expenditures30</vt:lpstr>
      <vt:lpstr>Expenditures!expenditures4</vt:lpstr>
      <vt:lpstr>Expenditures!expenditures5</vt:lpstr>
      <vt:lpstr>Expenditures!expenditures6</vt:lpstr>
      <vt:lpstr>Expenditures!expenditures7</vt:lpstr>
      <vt:lpstr>Expenditures!expenditures8</vt:lpstr>
      <vt:lpstr>Expenditures!expenditures9</vt:lpstr>
      <vt:lpstr>First_Year_of_Recommendation</vt:lpstr>
      <vt:lpstr>Fiscal_Year_Beginning</vt:lpstr>
      <vt:lpstr>Frequency_of_Contributions_Number</vt:lpstr>
      <vt:lpstr>Expenditures!inflation</vt:lpstr>
      <vt:lpstr>Inflation</vt:lpstr>
      <vt:lpstr>'Funding Plan'!Interest</vt:lpstr>
      <vt:lpstr>Interest</vt:lpstr>
      <vt:lpstr>Number_of_Buildings</vt:lpstr>
      <vt:lpstr>Number_of_Units</vt:lpstr>
      <vt:lpstr>Expenditures!Print_Area</vt:lpstr>
      <vt:lpstr>Expenditures!Print_Titles</vt:lpstr>
      <vt:lpstr>Reference_Number</vt:lpstr>
      <vt:lpstr>Remaining_Budgeted_Months</vt:lpstr>
      <vt:lpstr>Rounded_by</vt:lpstr>
      <vt:lpstr>Study_Length</vt:lpstr>
      <vt:lpstr>version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Bolda</dc:creator>
  <cp:lastModifiedBy>MacKenzie Krause</cp:lastModifiedBy>
  <dcterms:created xsi:type="dcterms:W3CDTF">2013-02-27T21:44:57Z</dcterms:created>
  <dcterms:modified xsi:type="dcterms:W3CDTF">2023-09-21T18:50:34Z</dcterms:modified>
</cp:coreProperties>
</file>